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tables/table4.xml" ContentType="application/vnd.openxmlformats-officedocument.spreadsheetml.table+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energir.sharepoint.com/sites/APPR-Equipe-Developpement-offre-de-programmes-tapedeconceptionprogramme/Documents partages/Documents utiles pour la conception de programme/Suivi des recommandations - Mandats d'évaluations/"/>
    </mc:Choice>
  </mc:AlternateContent>
  <xr:revisionPtr revIDLastSave="189" documentId="8_{EDB20E3D-7405-46CA-8E00-60A4F6F79970}" xr6:coauthVersionLast="47" xr6:coauthVersionMax="47" xr10:uidLastSave="{946DCDD9-8A8F-4857-99A1-3A687AB7EDD7}"/>
  <bookViews>
    <workbookView xWindow="-108" yWindow="-108" windowWidth="23256" windowHeight="12456" tabRatio="693" activeTab="1" xr2:uid="{0864FF69-0274-4C78-9844-FAD5E0587146}"/>
  </bookViews>
  <sheets>
    <sheet name="Guide d'utilisation" sheetId="29" r:id="rId1"/>
    <sheet name="Calculateur" sheetId="26" r:id="rId2"/>
    <sheet name="Outil V3" sheetId="30" state="hidden" r:id="rId3"/>
    <sheet name="Prix GN" sheetId="27" state="hidden" r:id="rId4"/>
    <sheet name="Économies réelles" sheetId="31" state="hidden" r:id="rId5"/>
    <sheet name="Validation" sheetId="32" state="hidden" r:id="rId6"/>
    <sheet name="Courbe" sheetId="20" state="hidden" r:id="rId7"/>
    <sheet name="Instructions" sheetId="23"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ccèsDonnéesIntang">[1]!AccèsIntangibles</definedName>
    <definedName name="AccèsDonnéesTang">[1]!AccèsTangibles</definedName>
    <definedName name="aDADF">'[2]Rapport suivi et implantation'!#REF!</definedName>
    <definedName name="Aérotherme">Instructions!$G$9:$G$10</definedName>
    <definedName name="afe">[3]!BudgetsSupAdmAn1</definedName>
    <definedName name="AnnéeDépart">[1]!AnnéeDépart</definedName>
    <definedName name="AnnéeSCGM">[1]!AnnéeSCGM</definedName>
    <definedName name="BénéfBonus">[4]Bonus!$D$18</definedName>
    <definedName name="Bonus">[4]Bonus!$D$19</definedName>
    <definedName name="Budgets">[1]!Budgets</definedName>
    <definedName name="BudgetsPICAn1">[1]!BudgetsPICAn1</definedName>
    <definedName name="BudgetsPICAn2">[1]!BudgetsPICAn2</definedName>
    <definedName name="BudgetsPICAn3">[1]!BudgetsPICAn3</definedName>
    <definedName name="BudgetsPICPlan">[1]!BudgetsPICPlan</definedName>
    <definedName name="BudgetsPIRAn1">[1]!BudgetsPIRAn1</definedName>
    <definedName name="BudgetsPIRAn2">[1]!BudgetsPIRAn2</definedName>
    <definedName name="BudgetsPIRAn3">[1]!BudgetsPIRAn3</definedName>
    <definedName name="BudgetsPIRPlan">[1]!BudgetsPIRPlan</definedName>
    <definedName name="BudgetsPTCAn1">[1]!BudgetsPTCAn1</definedName>
    <definedName name="BudgetsPTCAn2">[1]!BudgetsPTCAn2</definedName>
    <definedName name="BudgetsPTCAn3">[1]!BudgetsPTCAn3</definedName>
    <definedName name="BudgetsPTCPlan">[1]!BudgetsPTCPlan</definedName>
    <definedName name="BudgetsPTRAn1">[1]!BudgetsPTRAn1</definedName>
    <definedName name="BudgetsPTRAn2">[1]!BudgetsPTRAn2</definedName>
    <definedName name="BudgetsPTRAn3">[1]!BudgetsPTRAn3</definedName>
    <definedName name="BudgetsPTRPlan">[1]!BudgetsPTRPlan</definedName>
    <definedName name="BudgetsPTVAn1">[1]!BudgetsPTVAn1</definedName>
    <definedName name="BudgetsPTVAn2">[1]!BudgetsPTVAn2</definedName>
    <definedName name="BudgetsPTVAn3">[1]!BudgetsPTVAn3</definedName>
    <definedName name="BudgetsPTVPlan">[1]!BudgetsPTVPlan</definedName>
    <definedName name="BudgetsSupAdmAn1">[1]!BudgetsSupAdmAn1</definedName>
    <definedName name="BudgetsSupAdmAn2">[1]!BudgetsSupAdmAn2</definedName>
    <definedName name="BudgetsSupAdmAn3">[1]!BudgetsSupAdmAn3</definedName>
    <definedName name="CDSAFD">[5]!ProgTangiblesRés</definedName>
    <definedName name="ComposantesGES">[1]!ComposantesGES</definedName>
    <definedName name="ContrôleColonnes">#REF!</definedName>
    <definedName name="ContrôleColonnesBudgets">'[2]Répartition des budgets du plan'!$L$17:$AI$17</definedName>
    <definedName name="ContrôleColonnesComparatifs">'[2]Comparatif de tests'!$J$20:$AE$20</definedName>
    <definedName name="ContrôleColonnesRécap">'[2]Récapitulatif financier'!$L$20:$BD$20</definedName>
    <definedName name="ContrôleRangées">#REF!</definedName>
    <definedName name="ContrôleRangéesPRI">[2]PRI!$D$25:$D$87</definedName>
    <definedName name="ContrôleRangéesProgrammesBudgets">'[2]Répartition des budgets du plan'!$D$26:$D$147</definedName>
    <definedName name="ContrôleRangéesProgrammesCachée" xml:space="preserve"> '[2]Feuille cachée!'!$D$12:$D$121</definedName>
    <definedName name="ContrôleRangéesProgrammesComparatifs">'[2]Comparatif de tests'!$D$30:$D$95</definedName>
    <definedName name="ContrôleRangéesProgrammesImpact">#REF!</definedName>
    <definedName name="ContrôleRangéesProgrammesRatio">'[2]Économies unitaires'!$D$24:$D$88</definedName>
    <definedName name="ContrôleRangéesProgrammesRécap">'[2]Récapitulatif financier'!$D$30:$D$147</definedName>
    <definedName name="ContrôleRangéesProgrammesRécomp">[2]Récompenses!$D$24:$D$133</definedName>
    <definedName name="ContrôleRangéesProgrammesRécompGlob">'[2]Récompense globale'!$D$24:$D$89</definedName>
    <definedName name="ContrôleRangéesProgrammesSuivi" xml:space="preserve"> '[2]Rapport suivi et implantation'!$D$23:$D$139</definedName>
    <definedName name="ContrôleRangéesTableauxBord">#REF!</definedName>
    <definedName name="CoûtBonus">[4]Bonus!$E$18</definedName>
    <definedName name="CoûtPlanAn1">'[2]Répartition des budgets du plan'!$M$149</definedName>
    <definedName name="CoûtPlanAn2">'[2]Répartition des budgets du plan'!$S$149</definedName>
    <definedName name="CoûtPlanAn3">'[2]Répartition des budgets du plan'!$Y$149</definedName>
    <definedName name="CoûtsCO2">[1]!CoûtsCO2</definedName>
    <definedName name="CoûtsProgramme">'[6]Données spécifiques'!$M$43:$Q$51</definedName>
    <definedName name="csas">#REF!</definedName>
    <definedName name="Ct_1">[1]!Ct_1</definedName>
    <definedName name="Ct_2">[1]!Ct_2</definedName>
    <definedName name="Ct_3">[1]!Ct_3</definedName>
    <definedName name="DestinationImpact">'[2]Feuille cachée!'!$K$13:$S$32,'[2]Feuille cachée!'!$K$35:$S$54,'[2]Feuille cachée!'!$K$79:$S$98,'[2]Feuille cachée!'!$K$101:$S$120</definedName>
    <definedName name="DestinationTableauxBord">#REF!</definedName>
    <definedName name="dfswvgswgde">#REF!</definedName>
    <definedName name="dqfrwgftwg">#REF!</definedName>
    <definedName name="eewrw">#REF!</definedName>
    <definedName name="ÉtudRechRéal">[1]!ÉtudRechRéal</definedName>
    <definedName name="ExternalData_1" localSheetId="3" hidden="1">'Prix GN'!$A$1:$E$21</definedName>
    <definedName name="fdewfwrg">#REF!</definedName>
    <definedName name="fewfg">[7]!ProgIntangiblesCII</definedName>
    <definedName name="FichiersIntangCII">[1]!FichiersIntangCII</definedName>
    <definedName name="FichiersIntangRés">[1]!FichiersIntangRés</definedName>
    <definedName name="FichiersTangCII">[1]!FichiersTangCII</definedName>
    <definedName name="FichiersTangRés">[1]!FichiersTangRés</definedName>
    <definedName name="FichiersTangVGE">[1]!FichiersTangVGE</definedName>
    <definedName name="FormuleImpact">'[2]Rapport suivi et implantation'!#REF!</definedName>
    <definedName name="FormuleTableauxBord">#REF!</definedName>
    <definedName name="FREGTRESHJ">#REF!</definedName>
    <definedName name="frgeet">#REF!</definedName>
    <definedName name="GainBrutAprèsTx">'[8]Pertes de revenus'!$I$51</definedName>
    <definedName name="GGHHRHR">#REF!</definedName>
    <definedName name="GJTotalAn1">'[2]Rapport suivi et implantation'!$AW$142</definedName>
    <definedName name="GJTotalAn2">'[2]Rapport suivi et implantation'!$AX$142</definedName>
    <definedName name="GJTotalAn3">'[2]Rapport suivi et implantation'!$AY$142</definedName>
    <definedName name="GJTotalRAn1">'[2]Rapport suivi et implantation'!$BA$142</definedName>
    <definedName name="GJTotalRAn2">'[2]Rapport suivi et implantation'!#REF!</definedName>
    <definedName name="GJTotalRAn3">'[2]Rapport suivi et implantation'!#REF!</definedName>
    <definedName name="hgugjhjh">'[2]Rapport suivi et implantation'!#REF!</definedName>
    <definedName name="IndexIndex">'[2]Contrôle Accès'!$B$11:$F$12</definedName>
    <definedName name="inflation">'[9]Paramètres économiques'!$C$4</definedName>
    <definedName name="Infrarouge">Instructions!$H$8:$H$10</definedName>
    <definedName name="ListeFichiersTableauxBord">#REF!</definedName>
    <definedName name="MoisAnnéeSCGM">[1]!MoisAnnéeSCGM</definedName>
    <definedName name="MoisComplété">[1]!MoisComplété</definedName>
    <definedName name="NbMois">[1]!NbMois</definedName>
    <definedName name="NbParticipantsAn1">#REF!</definedName>
    <definedName name="NbProgrammes">[1]!NbProgrammes</definedName>
    <definedName name="PDFImpact">'[2]Rapport suivi et implantation'!#REF!</definedName>
    <definedName name="PDFTableauxBord">#REF!</definedName>
    <definedName name="peeeeee">#REF!</definedName>
    <definedName name="PerteBrutem3">'[10]Pertes de revenus'!$I$43</definedName>
    <definedName name="PertesNettesAn1">'[2]Feuille cachée!'!$N$123</definedName>
    <definedName name="PertesNettesAn2">'[2]Feuille cachée!'!$O$123</definedName>
    <definedName name="PertesNettesAn3">'[2]Feuille cachée!'!$P$123</definedName>
    <definedName name="ProgIntangiblesCII">[1]!ProgIntangiblesCII</definedName>
    <definedName name="ProgIntangiblesRés">[1]!ProgIntangiblesRés</definedName>
    <definedName name="ProgTangiblesCII">[1]!ProgTangiblesCII</definedName>
    <definedName name="ProgTangiblesRés">[1]!ProgTangiblesRés</definedName>
    <definedName name="ProgTangiblesVGE">[1]!ProgTangiblesVGE</definedName>
    <definedName name="r_réel_simple">[11]Paramètre!$C$6</definedName>
    <definedName name="RécompTotAn1">'[2]Feuille cachée!'!$Q$123</definedName>
    <definedName name="RécompTotAn2">'[2]Feuille cachée!'!$R$123</definedName>
    <definedName name="RépartitionBudgets">'[2]Répartition des budgets du plan'!$H$27:$AI$135</definedName>
    <definedName name="RevenusImpactTarif">[1]!RevenusImpactTarif</definedName>
    <definedName name="RevenusTotauxImpactTarif">[1]!RevenusTotauxImpactTarif</definedName>
    <definedName name="rtrtrhhj">#REF!</definedName>
    <definedName name="safc">[5]!ProgTangiblesRés</definedName>
    <definedName name="SDGDF">#REF!</definedName>
    <definedName name="Subvention">#REF!</definedName>
    <definedName name="SupportAdmAN1">'[6]Données spécifiques'!$N$48</definedName>
    <definedName name="SupportAdmAN2">'[6]Données spécifiques'!$O$48</definedName>
    <definedName name="SupportAdmAN3">'[6]Données spécifiques'!$Q$48</definedName>
    <definedName name="SupportAdministration">[1]!SupportAdministration</definedName>
    <definedName name="TableauMasquableTableauxBord">#REF!</definedName>
    <definedName name="TauxInflation">[12]!TauxInflation</definedName>
    <definedName name="Taxes">#REF!</definedName>
    <definedName name="TexteMoisComplété">'[2]Feuille cachée!'!$AE$14:$AF$25</definedName>
    <definedName name="TotalRépartAn1">[1]!TotalRépartAn1</definedName>
    <definedName name="TotalRépartAn2">[1]!TotalRépartAn2</definedName>
    <definedName name="TotalRépartAn3">[1]!TotalRépartAn3</definedName>
    <definedName name="TotalSupAdmAN1">[1]!TotalSupAdmAN1</definedName>
    <definedName name="TotalSupAdmAN2">[1]!TotalSupAdmAN2</definedName>
    <definedName name="TotalSupAdmAN3">[1]!TotalSupAdmAN3</definedName>
    <definedName name="TotalSupAdmProg">[1]!TotalSupAdmProg</definedName>
    <definedName name="TpClientèles">[1]!TpClientèles</definedName>
    <definedName name="tx_act_nominal">'[9]Paramètres économiques'!$C$3</definedName>
    <definedName name="tx_act_réel">'[9]Paramètres économiques'!$C$5</definedName>
    <definedName name="VANSansSub">[1]!VANSansSub</definedName>
    <definedName name="vcdsfs">[5]!Ct_2</definedName>
    <definedName name="VersCourOutils">[1]!VersCourOutils</definedName>
    <definedName name="VersCourPEE">[1]!VersCourPEE</definedName>
    <definedName name="VolumeImpactTarif">[1]!VolumeImpactTarif</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26" l="1"/>
  <c r="D65" i="26"/>
  <c r="H28" i="26"/>
  <c r="F28" i="26"/>
  <c r="F23" i="30"/>
  <c r="F8" i="30"/>
  <c r="F21" i="30" a="1"/>
  <c r="F21" i="30" s="1"/>
  <c r="F6" i="30" a="1"/>
  <c r="F6" i="30" s="1"/>
  <c r="H39" i="26"/>
  <c r="F77" i="26" s="1"/>
  <c r="F39" i="26"/>
  <c r="H32" i="26"/>
  <c r="F32" i="26"/>
  <c r="H30" i="26"/>
  <c r="F30" i="26"/>
  <c r="H26" i="26"/>
  <c r="F26" i="26"/>
  <c r="H24" i="26"/>
  <c r="F24" i="26"/>
  <c r="E4" i="32"/>
  <c r="E5" i="32"/>
  <c r="E6" i="32"/>
  <c r="E7" i="32"/>
  <c r="E8" i="32"/>
  <c r="E9" i="32"/>
  <c r="E10" i="32"/>
  <c r="E3" i="32"/>
  <c r="C4" i="32"/>
  <c r="C5" i="32"/>
  <c r="C6" i="32"/>
  <c r="C7" i="32"/>
  <c r="C8" i="32"/>
  <c r="C9" i="32"/>
  <c r="C10" i="32"/>
  <c r="C3" i="32"/>
  <c r="D188" i="31"/>
  <c r="C188" i="31"/>
  <c r="AC187" i="31"/>
  <c r="AD187" i="31" s="1"/>
  <c r="Y187" i="31"/>
  <c r="Z187" i="31" s="1"/>
  <c r="AA187" i="31" s="1"/>
  <c r="AB187" i="31" s="1"/>
  <c r="U187" i="31"/>
  <c r="V187" i="31" s="1"/>
  <c r="W187" i="31" s="1"/>
  <c r="X187" i="31" s="1"/>
  <c r="T187" i="31"/>
  <c r="Q187" i="31"/>
  <c r="R187" i="31" s="1"/>
  <c r="M187" i="31"/>
  <c r="N187" i="31" s="1"/>
  <c r="K187" i="31"/>
  <c r="H187" i="31"/>
  <c r="J187" i="31" s="1"/>
  <c r="S187" i="31" s="1"/>
  <c r="F187" i="31"/>
  <c r="AC186" i="31"/>
  <c r="AD186" i="31" s="1"/>
  <c r="Y186" i="31"/>
  <c r="Z186" i="31" s="1"/>
  <c r="AA186" i="31" s="1"/>
  <c r="AB186" i="31" s="1"/>
  <c r="U186" i="31"/>
  <c r="V186" i="31" s="1"/>
  <c r="Q186" i="31"/>
  <c r="R186" i="31" s="1"/>
  <c r="M186" i="31"/>
  <c r="N186" i="31" s="1"/>
  <c r="H186" i="31"/>
  <c r="J186" i="31" s="1"/>
  <c r="S186" i="31" s="1"/>
  <c r="T186" i="31" s="1"/>
  <c r="F186" i="31"/>
  <c r="AC185" i="31"/>
  <c r="AD185" i="31" s="1"/>
  <c r="Y185" i="31"/>
  <c r="Z185" i="31" s="1"/>
  <c r="U185" i="31"/>
  <c r="V185" i="31" s="1"/>
  <c r="Q185" i="31"/>
  <c r="R185" i="31" s="1"/>
  <c r="M185" i="31"/>
  <c r="N185" i="31" s="1"/>
  <c r="H185" i="31"/>
  <c r="J185" i="31" s="1"/>
  <c r="F185" i="31"/>
  <c r="AC184" i="31"/>
  <c r="AD184" i="31" s="1"/>
  <c r="AB184" i="31"/>
  <c r="Y184" i="31"/>
  <c r="Z184" i="31" s="1"/>
  <c r="AA184" i="31" s="1"/>
  <c r="U184" i="31"/>
  <c r="V184" i="31" s="1"/>
  <c r="W184" i="31" s="1"/>
  <c r="X184" i="31" s="1"/>
  <c r="T184" i="31"/>
  <c r="Q184" i="31"/>
  <c r="R184" i="31" s="1"/>
  <c r="M184" i="31"/>
  <c r="N184" i="31" s="1"/>
  <c r="K184" i="31"/>
  <c r="H184" i="31"/>
  <c r="J184" i="31" s="1"/>
  <c r="S184" i="31" s="1"/>
  <c r="F184" i="31"/>
  <c r="AC183" i="31"/>
  <c r="AD183" i="31" s="1"/>
  <c r="Y183" i="31"/>
  <c r="Z183" i="31" s="1"/>
  <c r="AA183" i="31" s="1"/>
  <c r="AB183" i="31" s="1"/>
  <c r="U183" i="31"/>
  <c r="V183" i="31" s="1"/>
  <c r="W183" i="31" s="1"/>
  <c r="X183" i="31" s="1"/>
  <c r="T183" i="31"/>
  <c r="Q183" i="31"/>
  <c r="R183" i="31" s="1"/>
  <c r="M183" i="31"/>
  <c r="N183" i="31" s="1"/>
  <c r="K183" i="31"/>
  <c r="H183" i="31"/>
  <c r="J183" i="31" s="1"/>
  <c r="S183" i="31" s="1"/>
  <c r="F183" i="31"/>
  <c r="AC182" i="31"/>
  <c r="AD182" i="31" s="1"/>
  <c r="Y182" i="31"/>
  <c r="Z182" i="31" s="1"/>
  <c r="AA182" i="31" s="1"/>
  <c r="AB182" i="31" s="1"/>
  <c r="U182" i="31"/>
  <c r="V182" i="31" s="1"/>
  <c r="Q182" i="31"/>
  <c r="R182" i="31" s="1"/>
  <c r="M182" i="31"/>
  <c r="N182" i="31" s="1"/>
  <c r="H182" i="31"/>
  <c r="J182" i="31" s="1"/>
  <c r="S182" i="31" s="1"/>
  <c r="T182" i="31" s="1"/>
  <c r="F182" i="31"/>
  <c r="AC181" i="31"/>
  <c r="AD181" i="31" s="1"/>
  <c r="AF181" i="31" s="1"/>
  <c r="AE181" i="31" s="1"/>
  <c r="Y181" i="31"/>
  <c r="Z181" i="31" s="1"/>
  <c r="U181" i="31"/>
  <c r="V181" i="31" s="1"/>
  <c r="Q181" i="31"/>
  <c r="R181" i="31" s="1"/>
  <c r="M181" i="31"/>
  <c r="N181" i="31" s="1"/>
  <c r="H181" i="31"/>
  <c r="J181" i="31" s="1"/>
  <c r="F181" i="31"/>
  <c r="AC180" i="31"/>
  <c r="AD180" i="31" s="1"/>
  <c r="AB180" i="31"/>
  <c r="Y180" i="31"/>
  <c r="Z180" i="31" s="1"/>
  <c r="AA180" i="31" s="1"/>
  <c r="U180" i="31"/>
  <c r="V180" i="31" s="1"/>
  <c r="W180" i="31" s="1"/>
  <c r="X180" i="31" s="1"/>
  <c r="T180" i="31"/>
  <c r="Q180" i="31"/>
  <c r="R180" i="31" s="1"/>
  <c r="M180" i="31"/>
  <c r="N180" i="31" s="1"/>
  <c r="K180" i="31"/>
  <c r="H180" i="31"/>
  <c r="J180" i="31" s="1"/>
  <c r="S180" i="31" s="1"/>
  <c r="F180" i="31"/>
  <c r="AC179" i="31"/>
  <c r="AD179" i="31" s="1"/>
  <c r="Y179" i="31"/>
  <c r="Z179" i="31" s="1"/>
  <c r="AA179" i="31" s="1"/>
  <c r="AB179" i="31" s="1"/>
  <c r="U179" i="31"/>
  <c r="V179" i="31" s="1"/>
  <c r="W179" i="31" s="1"/>
  <c r="X179" i="31" s="1"/>
  <c r="Q179" i="31"/>
  <c r="R179" i="31" s="1"/>
  <c r="M179" i="31"/>
  <c r="N179" i="31" s="1"/>
  <c r="K179" i="31"/>
  <c r="H179" i="31"/>
  <c r="J179" i="31" s="1"/>
  <c r="F179" i="31"/>
  <c r="AC178" i="31"/>
  <c r="AD178" i="31" s="1"/>
  <c r="Y178" i="31"/>
  <c r="Z178" i="31" s="1"/>
  <c r="AA178" i="31" s="1"/>
  <c r="AB178" i="31" s="1"/>
  <c r="U178" i="31"/>
  <c r="V178" i="31" s="1"/>
  <c r="Q178" i="31"/>
  <c r="R178" i="31" s="1"/>
  <c r="M178" i="31"/>
  <c r="N178" i="31" s="1"/>
  <c r="H178" i="31"/>
  <c r="J178" i="31" s="1"/>
  <c r="F178" i="31"/>
  <c r="AC177" i="31"/>
  <c r="AD177" i="31" s="1"/>
  <c r="AF177" i="31" s="1"/>
  <c r="AE177" i="31" s="1"/>
  <c r="Y177" i="31"/>
  <c r="Z177" i="31" s="1"/>
  <c r="U177" i="31"/>
  <c r="V177" i="31" s="1"/>
  <c r="Q177" i="31"/>
  <c r="R177" i="31" s="1"/>
  <c r="M177" i="31"/>
  <c r="N177" i="31" s="1"/>
  <c r="H177" i="31"/>
  <c r="J177" i="31" s="1"/>
  <c r="F177" i="31"/>
  <c r="AC176" i="31"/>
  <c r="AD176" i="31" s="1"/>
  <c r="Y176" i="31"/>
  <c r="Z176" i="31" s="1"/>
  <c r="U176" i="31"/>
  <c r="V176" i="31" s="1"/>
  <c r="W176" i="31" s="1"/>
  <c r="X176" i="31" s="1"/>
  <c r="Q176" i="31"/>
  <c r="R176" i="31" s="1"/>
  <c r="M176" i="31"/>
  <c r="N176" i="31" s="1"/>
  <c r="K176" i="31"/>
  <c r="H176" i="31"/>
  <c r="J176" i="31" s="1"/>
  <c r="F176" i="31"/>
  <c r="AC175" i="31"/>
  <c r="AD175" i="31" s="1"/>
  <c r="Y175" i="31"/>
  <c r="Z175" i="31" s="1"/>
  <c r="AA175" i="31" s="1"/>
  <c r="AB175" i="31" s="1"/>
  <c r="U175" i="31"/>
  <c r="V175" i="31" s="1"/>
  <c r="W175" i="31" s="1"/>
  <c r="X175" i="31" s="1"/>
  <c r="Q175" i="31"/>
  <c r="R175" i="31" s="1"/>
  <c r="M175" i="31"/>
  <c r="N175" i="31" s="1"/>
  <c r="K175" i="31"/>
  <c r="H175" i="31"/>
  <c r="J175" i="31" s="1"/>
  <c r="F175" i="31"/>
  <c r="AC174" i="31"/>
  <c r="AD174" i="31" s="1"/>
  <c r="Y174" i="31"/>
  <c r="Z174" i="31" s="1"/>
  <c r="AA174" i="31" s="1"/>
  <c r="AB174" i="31" s="1"/>
  <c r="U174" i="31"/>
  <c r="V174" i="31" s="1"/>
  <c r="Q174" i="31"/>
  <c r="R174" i="31" s="1"/>
  <c r="M174" i="31"/>
  <c r="N174" i="31" s="1"/>
  <c r="H174" i="31"/>
  <c r="J174" i="31" s="1"/>
  <c r="F174" i="31"/>
  <c r="AC173" i="31"/>
  <c r="AD173" i="31" s="1"/>
  <c r="AF173" i="31" s="1"/>
  <c r="AE173" i="31" s="1"/>
  <c r="Y173" i="31"/>
  <c r="Z173" i="31" s="1"/>
  <c r="U173" i="31"/>
  <c r="V173" i="31" s="1"/>
  <c r="Q173" i="31"/>
  <c r="R173" i="31" s="1"/>
  <c r="M173" i="31"/>
  <c r="N173" i="31" s="1"/>
  <c r="H173" i="31"/>
  <c r="J173" i="31" s="1"/>
  <c r="F173" i="31"/>
  <c r="AC172" i="31"/>
  <c r="AD172" i="31" s="1"/>
  <c r="Y172" i="31"/>
  <c r="Z172" i="31" s="1"/>
  <c r="U172" i="31"/>
  <c r="V172" i="31" s="1"/>
  <c r="W172" i="31" s="1"/>
  <c r="X172" i="31" s="1"/>
  <c r="Q172" i="31"/>
  <c r="R172" i="31" s="1"/>
  <c r="M172" i="31"/>
  <c r="N172" i="31" s="1"/>
  <c r="K172" i="31"/>
  <c r="H172" i="31"/>
  <c r="J172" i="31" s="1"/>
  <c r="F172" i="31"/>
  <c r="AC171" i="31"/>
  <c r="AD171" i="31" s="1"/>
  <c r="Y171" i="31"/>
  <c r="Z171" i="31" s="1"/>
  <c r="AA171" i="31" s="1"/>
  <c r="AB171" i="31" s="1"/>
  <c r="U171" i="31"/>
  <c r="V171" i="31" s="1"/>
  <c r="W171" i="31" s="1"/>
  <c r="X171" i="31" s="1"/>
  <c r="Q171" i="31"/>
  <c r="R171" i="31" s="1"/>
  <c r="M171" i="31"/>
  <c r="N171" i="31" s="1"/>
  <c r="H171" i="31"/>
  <c r="J171" i="31" s="1"/>
  <c r="F171" i="31"/>
  <c r="AC170" i="31"/>
  <c r="AD170" i="31" s="1"/>
  <c r="AF170" i="31" s="1"/>
  <c r="AE170" i="31" s="1"/>
  <c r="Y170" i="31"/>
  <c r="Z170" i="31" s="1"/>
  <c r="AA170" i="31" s="1"/>
  <c r="AB170" i="31" s="1"/>
  <c r="U170" i="31"/>
  <c r="V170" i="31" s="1"/>
  <c r="Q170" i="31"/>
  <c r="R170" i="31" s="1"/>
  <c r="M170" i="31"/>
  <c r="N170" i="31" s="1"/>
  <c r="K170" i="31"/>
  <c r="H170" i="31"/>
  <c r="J170" i="31" s="1"/>
  <c r="F170" i="31"/>
  <c r="AC169" i="31"/>
  <c r="AD169" i="31" s="1"/>
  <c r="Y169" i="31"/>
  <c r="Z169" i="31" s="1"/>
  <c r="AA169" i="31" s="1"/>
  <c r="AB169" i="31" s="1"/>
  <c r="U169" i="31"/>
  <c r="V169" i="31" s="1"/>
  <c r="W169" i="31" s="1"/>
  <c r="X169" i="31" s="1"/>
  <c r="Q169" i="31"/>
  <c r="R169" i="31" s="1"/>
  <c r="M169" i="31"/>
  <c r="N169" i="31" s="1"/>
  <c r="H169" i="31"/>
  <c r="J169" i="31" s="1"/>
  <c r="F169" i="31"/>
  <c r="AC168" i="31"/>
  <c r="AD168" i="31" s="1"/>
  <c r="AF168" i="31" s="1"/>
  <c r="AE168" i="31" s="1"/>
  <c r="Y168" i="31"/>
  <c r="Z168" i="31" s="1"/>
  <c r="AA168" i="31" s="1"/>
  <c r="AB168" i="31" s="1"/>
  <c r="U168" i="31"/>
  <c r="V168" i="31" s="1"/>
  <c r="W168" i="31" s="1"/>
  <c r="X168" i="31" s="1"/>
  <c r="Q168" i="31"/>
  <c r="R168" i="31" s="1"/>
  <c r="M168" i="31"/>
  <c r="N168" i="31" s="1"/>
  <c r="K168" i="31"/>
  <c r="H168" i="31"/>
  <c r="J168" i="31" s="1"/>
  <c r="F168" i="31"/>
  <c r="AC167" i="31"/>
  <c r="AD167" i="31" s="1"/>
  <c r="Y167" i="31"/>
  <c r="Z167" i="31" s="1"/>
  <c r="AA167" i="31" s="1"/>
  <c r="AB167" i="31" s="1"/>
  <c r="U167" i="31"/>
  <c r="V167" i="31" s="1"/>
  <c r="W167" i="31" s="1"/>
  <c r="X167" i="31" s="1"/>
  <c r="Q167" i="31"/>
  <c r="R167" i="31" s="1"/>
  <c r="M167" i="31"/>
  <c r="N167" i="31" s="1"/>
  <c r="H167" i="31"/>
  <c r="J167" i="31" s="1"/>
  <c r="F167" i="31"/>
  <c r="AC166" i="31"/>
  <c r="AD166" i="31" s="1"/>
  <c r="AF166" i="31" s="1"/>
  <c r="AE166" i="31" s="1"/>
  <c r="Y166" i="31"/>
  <c r="Z166" i="31" s="1"/>
  <c r="AA166" i="31" s="1"/>
  <c r="AB166" i="31" s="1"/>
  <c r="U166" i="31"/>
  <c r="V166" i="31" s="1"/>
  <c r="W166" i="31" s="1"/>
  <c r="X166" i="31" s="1"/>
  <c r="Q166" i="31"/>
  <c r="R166" i="31" s="1"/>
  <c r="M166" i="31"/>
  <c r="N166" i="31" s="1"/>
  <c r="K166" i="31"/>
  <c r="H166" i="31"/>
  <c r="J166" i="31" s="1"/>
  <c r="F166" i="31"/>
  <c r="AC165" i="31"/>
  <c r="AD165" i="31" s="1"/>
  <c r="Y165" i="31"/>
  <c r="Z165" i="31" s="1"/>
  <c r="AA165" i="31" s="1"/>
  <c r="AB165" i="31" s="1"/>
  <c r="U165" i="31"/>
  <c r="V165" i="31" s="1"/>
  <c r="W165" i="31" s="1"/>
  <c r="X165" i="31" s="1"/>
  <c r="Q165" i="31"/>
  <c r="R165" i="31" s="1"/>
  <c r="M165" i="31"/>
  <c r="N165" i="31" s="1"/>
  <c r="H165" i="31"/>
  <c r="J165" i="31" s="1"/>
  <c r="F165" i="31"/>
  <c r="AC164" i="31"/>
  <c r="AD164" i="31" s="1"/>
  <c r="AF164" i="31" s="1"/>
  <c r="AE164" i="31" s="1"/>
  <c r="Y164" i="31"/>
  <c r="Z164" i="31" s="1"/>
  <c r="AA164" i="31" s="1"/>
  <c r="AB164" i="31" s="1"/>
  <c r="U164" i="31"/>
  <c r="V164" i="31" s="1"/>
  <c r="W164" i="31" s="1"/>
  <c r="X164" i="31" s="1"/>
  <c r="Q164" i="31"/>
  <c r="R164" i="31" s="1"/>
  <c r="M164" i="31"/>
  <c r="N164" i="31" s="1"/>
  <c r="K164" i="31"/>
  <c r="H164" i="31"/>
  <c r="J164" i="31" s="1"/>
  <c r="F164" i="31"/>
  <c r="AC163" i="31"/>
  <c r="AD163" i="31" s="1"/>
  <c r="Y163" i="31"/>
  <c r="Z163" i="31" s="1"/>
  <c r="AA163" i="31" s="1"/>
  <c r="AB163" i="31" s="1"/>
  <c r="U163" i="31"/>
  <c r="V163" i="31" s="1"/>
  <c r="W163" i="31" s="1"/>
  <c r="X163" i="31" s="1"/>
  <c r="Q163" i="31"/>
  <c r="R163" i="31" s="1"/>
  <c r="M163" i="31"/>
  <c r="N163" i="31" s="1"/>
  <c r="H163" i="31"/>
  <c r="J163" i="31" s="1"/>
  <c r="F163" i="31"/>
  <c r="AC162" i="31"/>
  <c r="AD162" i="31" s="1"/>
  <c r="AF162" i="31" s="1"/>
  <c r="AE162" i="31" s="1"/>
  <c r="Y162" i="31"/>
  <c r="Z162" i="31" s="1"/>
  <c r="AA162" i="31" s="1"/>
  <c r="AB162" i="31" s="1"/>
  <c r="U162" i="31"/>
  <c r="V162" i="31" s="1"/>
  <c r="W162" i="31" s="1"/>
  <c r="X162" i="31" s="1"/>
  <c r="Q162" i="31"/>
  <c r="R162" i="31" s="1"/>
  <c r="M162" i="31"/>
  <c r="N162" i="31" s="1"/>
  <c r="K162" i="31"/>
  <c r="H162" i="31"/>
  <c r="J162" i="31" s="1"/>
  <c r="F162" i="31"/>
  <c r="AC161" i="31"/>
  <c r="AD161" i="31" s="1"/>
  <c r="AF161" i="31" s="1"/>
  <c r="AE161" i="31" s="1"/>
  <c r="Y161" i="31"/>
  <c r="Z161" i="31" s="1"/>
  <c r="AA161" i="31" s="1"/>
  <c r="AB161" i="31" s="1"/>
  <c r="U161" i="31"/>
  <c r="V161" i="31" s="1"/>
  <c r="W161" i="31" s="1"/>
  <c r="X161" i="31" s="1"/>
  <c r="Q161" i="31"/>
  <c r="R161" i="31" s="1"/>
  <c r="M161" i="31"/>
  <c r="N161" i="31" s="1"/>
  <c r="H161" i="31"/>
  <c r="J161" i="31" s="1"/>
  <c r="F161" i="31"/>
  <c r="AC160" i="31"/>
  <c r="AD160" i="31" s="1"/>
  <c r="AF160" i="31" s="1"/>
  <c r="AE160" i="31" s="1"/>
  <c r="Y160" i="31"/>
  <c r="Z160" i="31" s="1"/>
  <c r="AA160" i="31" s="1"/>
  <c r="AB160" i="31" s="1"/>
  <c r="U160" i="31"/>
  <c r="V160" i="31" s="1"/>
  <c r="R160" i="31"/>
  <c r="Q160" i="31"/>
  <c r="M160" i="31"/>
  <c r="N160" i="31" s="1"/>
  <c r="K160" i="31"/>
  <c r="H160" i="31"/>
  <c r="J160" i="31" s="1"/>
  <c r="F160" i="31"/>
  <c r="AD159" i="31"/>
  <c r="AF159" i="31" s="1"/>
  <c r="AE159" i="31" s="1"/>
  <c r="AC159" i="31"/>
  <c r="Z159" i="31"/>
  <c r="Y159" i="31"/>
  <c r="U159" i="31"/>
  <c r="V159" i="31" s="1"/>
  <c r="W159" i="31" s="1"/>
  <c r="X159" i="31" s="1"/>
  <c r="R159" i="31"/>
  <c r="Q159" i="31"/>
  <c r="M159" i="31"/>
  <c r="N159" i="31" s="1"/>
  <c r="H159" i="31"/>
  <c r="J159" i="31" s="1"/>
  <c r="F159" i="31"/>
  <c r="AC158" i="31"/>
  <c r="AD158" i="31" s="1"/>
  <c r="AF158" i="31" s="1"/>
  <c r="AE158" i="31" s="1"/>
  <c r="Z158" i="31"/>
  <c r="Y158" i="31"/>
  <c r="U158" i="31"/>
  <c r="V158" i="31" s="1"/>
  <c r="W158" i="31" s="1"/>
  <c r="X158" i="31" s="1"/>
  <c r="R158" i="31"/>
  <c r="Q158" i="31"/>
  <c r="M158" i="31"/>
  <c r="N158" i="31" s="1"/>
  <c r="H158" i="31"/>
  <c r="J158" i="31" s="1"/>
  <c r="F158" i="31"/>
  <c r="AC157" i="31"/>
  <c r="AD157" i="31" s="1"/>
  <c r="AF157" i="31" s="1"/>
  <c r="AE157" i="31" s="1"/>
  <c r="Z157" i="31"/>
  <c r="Y157" i="31"/>
  <c r="U157" i="31"/>
  <c r="V157" i="31" s="1"/>
  <c r="W157" i="31" s="1"/>
  <c r="X157" i="31" s="1"/>
  <c r="R157" i="31"/>
  <c r="Q157" i="31"/>
  <c r="M157" i="31"/>
  <c r="N157" i="31" s="1"/>
  <c r="H157" i="31"/>
  <c r="J157" i="31" s="1"/>
  <c r="F157" i="31"/>
  <c r="AC156" i="31"/>
  <c r="AD156" i="31" s="1"/>
  <c r="AF156" i="31" s="1"/>
  <c r="AE156" i="31" s="1"/>
  <c r="Z156" i="31"/>
  <c r="Y156" i="31"/>
  <c r="U156" i="31"/>
  <c r="V156" i="31" s="1"/>
  <c r="W156" i="31" s="1"/>
  <c r="X156" i="31" s="1"/>
  <c r="R156" i="31"/>
  <c r="Q156" i="31"/>
  <c r="M156" i="31"/>
  <c r="N156" i="31" s="1"/>
  <c r="H156" i="31"/>
  <c r="J156" i="31" s="1"/>
  <c r="F156" i="31"/>
  <c r="AC155" i="31"/>
  <c r="AD155" i="31" s="1"/>
  <c r="AF155" i="31" s="1"/>
  <c r="AE155" i="31" s="1"/>
  <c r="Z155" i="31"/>
  <c r="Y155" i="31"/>
  <c r="U155" i="31"/>
  <c r="V155" i="31" s="1"/>
  <c r="W155" i="31" s="1"/>
  <c r="X155" i="31" s="1"/>
  <c r="R155" i="31"/>
  <c r="Q155" i="31"/>
  <c r="M155" i="31"/>
  <c r="N155" i="31" s="1"/>
  <c r="H155" i="31"/>
  <c r="J155" i="31" s="1"/>
  <c r="F155" i="31"/>
  <c r="AC154" i="31"/>
  <c r="AD154" i="31" s="1"/>
  <c r="AF154" i="31" s="1"/>
  <c r="AE154" i="31" s="1"/>
  <c r="Z154" i="31"/>
  <c r="Y154" i="31"/>
  <c r="U154" i="31"/>
  <c r="V154" i="31" s="1"/>
  <c r="W154" i="31" s="1"/>
  <c r="X154" i="31" s="1"/>
  <c r="R154" i="31"/>
  <c r="Q154" i="31"/>
  <c r="M154" i="31"/>
  <c r="N154" i="31" s="1"/>
  <c r="H154" i="31"/>
  <c r="J154" i="31" s="1"/>
  <c r="F154" i="31"/>
  <c r="AC153" i="31"/>
  <c r="AD153" i="31" s="1"/>
  <c r="AF153" i="31" s="1"/>
  <c r="AE153" i="31" s="1"/>
  <c r="Z153" i="31"/>
  <c r="Y153" i="31"/>
  <c r="U153" i="31"/>
  <c r="V153" i="31" s="1"/>
  <c r="W153" i="31" s="1"/>
  <c r="X153" i="31" s="1"/>
  <c r="R153" i="31"/>
  <c r="Q153" i="31"/>
  <c r="M153" i="31"/>
  <c r="N153" i="31" s="1"/>
  <c r="H153" i="31"/>
  <c r="J153" i="31" s="1"/>
  <c r="F153" i="31"/>
  <c r="AC152" i="31"/>
  <c r="AD152" i="31" s="1"/>
  <c r="AF152" i="31" s="1"/>
  <c r="AE152" i="31" s="1"/>
  <c r="Z152" i="31"/>
  <c r="Y152" i="31"/>
  <c r="U152" i="31"/>
  <c r="V152" i="31" s="1"/>
  <c r="W152" i="31" s="1"/>
  <c r="X152" i="31" s="1"/>
  <c r="Q152" i="31"/>
  <c r="R152" i="31" s="1"/>
  <c r="M152" i="31"/>
  <c r="N152" i="31" s="1"/>
  <c r="H152" i="31"/>
  <c r="J152" i="31" s="1"/>
  <c r="F152" i="31"/>
  <c r="AC151" i="31"/>
  <c r="AD151" i="31" s="1"/>
  <c r="AF151" i="31" s="1"/>
  <c r="AE151" i="31" s="1"/>
  <c r="Y151" i="31"/>
  <c r="Z151" i="31" s="1"/>
  <c r="AA151" i="31" s="1"/>
  <c r="AB151" i="31" s="1"/>
  <c r="U151" i="31"/>
  <c r="V151" i="31" s="1"/>
  <c r="W151" i="31" s="1"/>
  <c r="X151" i="31" s="1"/>
  <c r="R151" i="31"/>
  <c r="Q151" i="31"/>
  <c r="M151" i="31"/>
  <c r="N151" i="31" s="1"/>
  <c r="H151" i="31"/>
  <c r="J151" i="31" s="1"/>
  <c r="F151" i="31"/>
  <c r="AC150" i="31"/>
  <c r="AD150" i="31" s="1"/>
  <c r="AF150" i="31" s="1"/>
  <c r="AE150" i="31" s="1"/>
  <c r="Z150" i="31"/>
  <c r="Y150" i="31"/>
  <c r="U150" i="31"/>
  <c r="V150" i="31" s="1"/>
  <c r="W150" i="31" s="1"/>
  <c r="X150" i="31" s="1"/>
  <c r="Q150" i="31"/>
  <c r="R150" i="31" s="1"/>
  <c r="M150" i="31"/>
  <c r="N150" i="31" s="1"/>
  <c r="H150" i="31"/>
  <c r="J150" i="31" s="1"/>
  <c r="F150" i="31"/>
  <c r="AC149" i="31"/>
  <c r="AD149" i="31" s="1"/>
  <c r="AF149" i="31" s="1"/>
  <c r="AE149" i="31" s="1"/>
  <c r="Y149" i="31"/>
  <c r="Z149" i="31" s="1"/>
  <c r="AA149" i="31" s="1"/>
  <c r="AB149" i="31" s="1"/>
  <c r="U149" i="31"/>
  <c r="V149" i="31" s="1"/>
  <c r="W149" i="31" s="1"/>
  <c r="X149" i="31" s="1"/>
  <c r="R149" i="31"/>
  <c r="Q149" i="31"/>
  <c r="M149" i="31"/>
  <c r="N149" i="31" s="1"/>
  <c r="H149" i="31"/>
  <c r="J149" i="31" s="1"/>
  <c r="F149" i="31"/>
  <c r="AC148" i="31"/>
  <c r="AD148" i="31" s="1"/>
  <c r="AF148" i="31" s="1"/>
  <c r="AE148" i="31" s="1"/>
  <c r="Z148" i="31"/>
  <c r="Y148" i="31"/>
  <c r="U148" i="31"/>
  <c r="V148" i="31" s="1"/>
  <c r="W148" i="31" s="1"/>
  <c r="X148" i="31" s="1"/>
  <c r="Q148" i="31"/>
  <c r="R148" i="31" s="1"/>
  <c r="M148" i="31"/>
  <c r="N148" i="31" s="1"/>
  <c r="H148" i="31"/>
  <c r="J148" i="31" s="1"/>
  <c r="F148" i="31"/>
  <c r="AC147" i="31"/>
  <c r="AD147" i="31" s="1"/>
  <c r="AF147" i="31" s="1"/>
  <c r="AE147" i="31" s="1"/>
  <c r="Y147" i="31"/>
  <c r="Z147" i="31" s="1"/>
  <c r="AA147" i="31" s="1"/>
  <c r="AB147" i="31" s="1"/>
  <c r="U147" i="31"/>
  <c r="V147" i="31" s="1"/>
  <c r="W147" i="31" s="1"/>
  <c r="X147" i="31" s="1"/>
  <c r="R147" i="31"/>
  <c r="Q147" i="31"/>
  <c r="M147" i="31"/>
  <c r="N147" i="31" s="1"/>
  <c r="H147" i="31"/>
  <c r="J147" i="31" s="1"/>
  <c r="F147" i="31"/>
  <c r="AC146" i="31"/>
  <c r="AD146" i="31" s="1"/>
  <c r="AF146" i="31" s="1"/>
  <c r="AE146" i="31" s="1"/>
  <c r="Z146" i="31"/>
  <c r="AA146" i="31" s="1"/>
  <c r="AB146" i="31" s="1"/>
  <c r="Y146" i="31"/>
  <c r="U146" i="31"/>
  <c r="V146" i="31" s="1"/>
  <c r="W146" i="31" s="1"/>
  <c r="X146" i="31" s="1"/>
  <c r="Q146" i="31"/>
  <c r="R146" i="31" s="1"/>
  <c r="M146" i="31"/>
  <c r="N146" i="31" s="1"/>
  <c r="H146" i="31"/>
  <c r="J146" i="31" s="1"/>
  <c r="F146" i="31"/>
  <c r="AC145" i="31"/>
  <c r="AD145" i="31" s="1"/>
  <c r="AF145" i="31" s="1"/>
  <c r="AE145" i="31" s="1"/>
  <c r="Y145" i="31"/>
  <c r="Z145" i="31" s="1"/>
  <c r="AA145" i="31" s="1"/>
  <c r="AB145" i="31" s="1"/>
  <c r="U145" i="31"/>
  <c r="V145" i="31" s="1"/>
  <c r="W145" i="31" s="1"/>
  <c r="X145" i="31" s="1"/>
  <c r="R145" i="31"/>
  <c r="Q145" i="31"/>
  <c r="M145" i="31"/>
  <c r="N145" i="31" s="1"/>
  <c r="H145" i="31"/>
  <c r="J145" i="31" s="1"/>
  <c r="F145" i="31"/>
  <c r="AC144" i="31"/>
  <c r="AD144" i="31" s="1"/>
  <c r="AF144" i="31" s="1"/>
  <c r="AE144" i="31" s="1"/>
  <c r="Z144" i="31"/>
  <c r="AA144" i="31" s="1"/>
  <c r="AB144" i="31" s="1"/>
  <c r="Y144" i="31"/>
  <c r="U144" i="31"/>
  <c r="V144" i="31" s="1"/>
  <c r="W144" i="31" s="1"/>
  <c r="X144" i="31" s="1"/>
  <c r="Q144" i="31"/>
  <c r="R144" i="31" s="1"/>
  <c r="N144" i="31"/>
  <c r="M144" i="31"/>
  <c r="H144" i="31"/>
  <c r="J144" i="31" s="1"/>
  <c r="F144" i="31"/>
  <c r="AC143" i="31"/>
  <c r="AD143" i="31" s="1"/>
  <c r="AF143" i="31" s="1"/>
  <c r="AE143" i="31" s="1"/>
  <c r="Y143" i="31"/>
  <c r="Z143" i="31" s="1"/>
  <c r="AA143" i="31" s="1"/>
  <c r="AB143" i="31" s="1"/>
  <c r="X143" i="31"/>
  <c r="U143" i="31"/>
  <c r="V143" i="31" s="1"/>
  <c r="W143" i="31" s="1"/>
  <c r="Q143" i="31"/>
  <c r="R143" i="31" s="1"/>
  <c r="N143" i="31"/>
  <c r="M143" i="31"/>
  <c r="H143" i="31"/>
  <c r="J143" i="31" s="1"/>
  <c r="F143" i="31"/>
  <c r="AC142" i="31"/>
  <c r="AD142" i="31" s="1"/>
  <c r="Z142" i="31"/>
  <c r="Y142" i="31"/>
  <c r="U142" i="31"/>
  <c r="V142" i="31" s="1"/>
  <c r="W142" i="31" s="1"/>
  <c r="X142" i="31" s="1"/>
  <c r="Q142" i="31"/>
  <c r="R142" i="31" s="1"/>
  <c r="M142" i="31"/>
  <c r="N142" i="31" s="1"/>
  <c r="J142" i="31"/>
  <c r="H142" i="31"/>
  <c r="F142" i="31"/>
  <c r="AC141" i="31"/>
  <c r="AD141" i="31" s="1"/>
  <c r="AF141" i="31" s="1"/>
  <c r="AE141" i="31" s="1"/>
  <c r="Y141" i="31"/>
  <c r="Z141" i="31" s="1"/>
  <c r="AA141" i="31" s="1"/>
  <c r="AB141" i="31" s="1"/>
  <c r="U141" i="31"/>
  <c r="V141" i="31" s="1"/>
  <c r="Q141" i="31"/>
  <c r="R141" i="31" s="1"/>
  <c r="M141" i="31"/>
  <c r="N141" i="31" s="1"/>
  <c r="J141" i="31"/>
  <c r="K141" i="31" s="1"/>
  <c r="H141" i="31"/>
  <c r="F141" i="31"/>
  <c r="AF140" i="31"/>
  <c r="AE140" i="31" s="1"/>
  <c r="AC140" i="31"/>
  <c r="AD140" i="31" s="1"/>
  <c r="Y140" i="31"/>
  <c r="Z140" i="31" s="1"/>
  <c r="AA140" i="31" s="1"/>
  <c r="AB140" i="31" s="1"/>
  <c r="U140" i="31"/>
  <c r="V140" i="31" s="1"/>
  <c r="W140" i="31" s="1"/>
  <c r="X140" i="31" s="1"/>
  <c r="S140" i="31"/>
  <c r="T140" i="31" s="1"/>
  <c r="Q140" i="31"/>
  <c r="R140" i="31" s="1"/>
  <c r="M140" i="31"/>
  <c r="N140" i="31" s="1"/>
  <c r="J140" i="31"/>
  <c r="K140" i="31" s="1"/>
  <c r="H140" i="31"/>
  <c r="F140" i="31"/>
  <c r="AC139" i="31"/>
  <c r="AD139" i="31" s="1"/>
  <c r="AF139" i="31" s="1"/>
  <c r="AE139" i="31" s="1"/>
  <c r="Y139" i="31"/>
  <c r="Z139" i="31" s="1"/>
  <c r="AA139" i="31" s="1"/>
  <c r="AB139" i="31" s="1"/>
  <c r="U139" i="31"/>
  <c r="V139" i="31" s="1"/>
  <c r="Q139" i="31"/>
  <c r="R139" i="31" s="1"/>
  <c r="M139" i="31"/>
  <c r="N139" i="31" s="1"/>
  <c r="J139" i="31"/>
  <c r="K139" i="31" s="1"/>
  <c r="H139" i="31"/>
  <c r="F139" i="31"/>
  <c r="AC138" i="31"/>
  <c r="AD138" i="31" s="1"/>
  <c r="AF138" i="31" s="1"/>
  <c r="AE138" i="31" s="1"/>
  <c r="Y138" i="31"/>
  <c r="Z138" i="31" s="1"/>
  <c r="AA138" i="31" s="1"/>
  <c r="AB138" i="31" s="1"/>
  <c r="U138" i="31"/>
  <c r="V138" i="31" s="1"/>
  <c r="S138" i="31"/>
  <c r="T138" i="31" s="1"/>
  <c r="Q138" i="31"/>
  <c r="R138" i="31" s="1"/>
  <c r="M138" i="31"/>
  <c r="N138" i="31" s="1"/>
  <c r="J138" i="31"/>
  <c r="K138" i="31" s="1"/>
  <c r="H138" i="31"/>
  <c r="F138" i="31"/>
  <c r="AC137" i="31"/>
  <c r="AD137" i="31" s="1"/>
  <c r="AF137" i="31" s="1"/>
  <c r="AE137" i="31" s="1"/>
  <c r="Y137" i="31"/>
  <c r="Z137" i="31" s="1"/>
  <c r="U137" i="31"/>
  <c r="V137" i="31" s="1"/>
  <c r="W137" i="31" s="1"/>
  <c r="X137" i="31" s="1"/>
  <c r="Q137" i="31"/>
  <c r="M137" i="31"/>
  <c r="N137" i="31" s="1"/>
  <c r="J137" i="31"/>
  <c r="K137" i="31" s="1"/>
  <c r="H137" i="31"/>
  <c r="F137" i="31"/>
  <c r="AC136" i="31"/>
  <c r="AD136" i="31" s="1"/>
  <c r="AF136" i="31" s="1"/>
  <c r="AE136" i="31" s="1"/>
  <c r="AA136" i="31"/>
  <c r="AB136" i="31" s="1"/>
  <c r="Y136" i="31"/>
  <c r="Z136" i="31" s="1"/>
  <c r="U136" i="31"/>
  <c r="V136" i="31" s="1"/>
  <c r="Q136" i="31"/>
  <c r="R136" i="31" s="1"/>
  <c r="M136" i="31"/>
  <c r="N136" i="31" s="1"/>
  <c r="J136" i="31"/>
  <c r="H136" i="31"/>
  <c r="F136" i="31"/>
  <c r="AF135" i="31"/>
  <c r="AE135" i="31" s="1"/>
  <c r="AC135" i="31"/>
  <c r="AD135" i="31" s="1"/>
  <c r="Y135" i="31"/>
  <c r="Z135" i="31" s="1"/>
  <c r="AA135" i="31" s="1"/>
  <c r="AB135" i="31" s="1"/>
  <c r="U135" i="31"/>
  <c r="V135" i="31" s="1"/>
  <c r="W135" i="31" s="1"/>
  <c r="X135" i="31" s="1"/>
  <c r="Q135" i="31"/>
  <c r="R135" i="31" s="1"/>
  <c r="M135" i="31"/>
  <c r="N135" i="31" s="1"/>
  <c r="J135" i="31"/>
  <c r="K135" i="31" s="1"/>
  <c r="H135" i="31"/>
  <c r="F135" i="31"/>
  <c r="AF134" i="31"/>
  <c r="AE134" i="31" s="1"/>
  <c r="AC134" i="31"/>
  <c r="AD134" i="31" s="1"/>
  <c r="Y134" i="31"/>
  <c r="Z134" i="31" s="1"/>
  <c r="U134" i="31"/>
  <c r="V134" i="31" s="1"/>
  <c r="Q134" i="31"/>
  <c r="R134" i="31" s="1"/>
  <c r="M134" i="31"/>
  <c r="N134" i="31" s="1"/>
  <c r="J134" i="31"/>
  <c r="K134" i="31" s="1"/>
  <c r="H134" i="31"/>
  <c r="F134" i="31"/>
  <c r="AC133" i="31"/>
  <c r="AD133" i="31" s="1"/>
  <c r="AF133" i="31" s="1"/>
  <c r="AE133" i="31" s="1"/>
  <c r="Y133" i="31"/>
  <c r="Z133" i="31" s="1"/>
  <c r="AA133" i="31" s="1"/>
  <c r="AB133" i="31" s="1"/>
  <c r="U133" i="31"/>
  <c r="V133" i="31" s="1"/>
  <c r="W133" i="31" s="1"/>
  <c r="X133" i="31" s="1"/>
  <c r="Q133" i="31"/>
  <c r="R133" i="31" s="1"/>
  <c r="M133" i="31"/>
  <c r="N133" i="31" s="1"/>
  <c r="J133" i="31"/>
  <c r="K133" i="31" s="1"/>
  <c r="H133" i="31"/>
  <c r="F133" i="31"/>
  <c r="AF132" i="31"/>
  <c r="AE132" i="31" s="1"/>
  <c r="AC132" i="31"/>
  <c r="AD132" i="31" s="1"/>
  <c r="Y132" i="31"/>
  <c r="Z132" i="31" s="1"/>
  <c r="AA132" i="31" s="1"/>
  <c r="AB132" i="31" s="1"/>
  <c r="U132" i="31"/>
  <c r="V132" i="31" s="1"/>
  <c r="W132" i="31" s="1"/>
  <c r="X132" i="31" s="1"/>
  <c r="S132" i="31"/>
  <c r="T132" i="31" s="1"/>
  <c r="Q132" i="31"/>
  <c r="R132" i="31" s="1"/>
  <c r="M132" i="31"/>
  <c r="N132" i="31" s="1"/>
  <c r="J132" i="31"/>
  <c r="K132" i="31" s="1"/>
  <c r="H132" i="31"/>
  <c r="F132" i="31"/>
  <c r="AC131" i="31"/>
  <c r="AD131" i="31" s="1"/>
  <c r="AF131" i="31" s="1"/>
  <c r="AE131" i="31" s="1"/>
  <c r="Y131" i="31"/>
  <c r="Z131" i="31" s="1"/>
  <c r="AA131" i="31" s="1"/>
  <c r="AB131" i="31" s="1"/>
  <c r="U131" i="31"/>
  <c r="V131" i="31" s="1"/>
  <c r="Q131" i="31"/>
  <c r="R131" i="31" s="1"/>
  <c r="M131" i="31"/>
  <c r="N131" i="31" s="1"/>
  <c r="J131" i="31"/>
  <c r="K131" i="31" s="1"/>
  <c r="H131" i="31"/>
  <c r="F131" i="31"/>
  <c r="AC130" i="31"/>
  <c r="AD130" i="31" s="1"/>
  <c r="AF130" i="31" s="1"/>
  <c r="AE130" i="31" s="1"/>
  <c r="Y130" i="31"/>
  <c r="Z130" i="31" s="1"/>
  <c r="AA130" i="31" s="1"/>
  <c r="AB130" i="31" s="1"/>
  <c r="X130" i="31"/>
  <c r="U130" i="31"/>
  <c r="V130" i="31" s="1"/>
  <c r="W130" i="31" s="1"/>
  <c r="S130" i="31"/>
  <c r="T130" i="31" s="1"/>
  <c r="Q130" i="31"/>
  <c r="R130" i="31" s="1"/>
  <c r="M130" i="31"/>
  <c r="N130" i="31" s="1"/>
  <c r="J130" i="31"/>
  <c r="K130" i="31" s="1"/>
  <c r="H130" i="31"/>
  <c r="F130" i="31"/>
  <c r="AC129" i="31"/>
  <c r="AD129" i="31" s="1"/>
  <c r="AF129" i="31" s="1"/>
  <c r="AE129" i="31" s="1"/>
  <c r="Y129" i="31"/>
  <c r="Z129" i="31" s="1"/>
  <c r="U129" i="31"/>
  <c r="V129" i="31" s="1"/>
  <c r="W129" i="31" s="1"/>
  <c r="X129" i="31" s="1"/>
  <c r="Q129" i="31"/>
  <c r="M129" i="31"/>
  <c r="N129" i="31" s="1"/>
  <c r="J129" i="31"/>
  <c r="K129" i="31" s="1"/>
  <c r="H129" i="31"/>
  <c r="F129" i="31"/>
  <c r="AC128" i="31"/>
  <c r="AD128" i="31" s="1"/>
  <c r="AF128" i="31" s="1"/>
  <c r="AE128" i="31" s="1"/>
  <c r="AA128" i="31"/>
  <c r="AB128" i="31" s="1"/>
  <c r="Y128" i="31"/>
  <c r="Z128" i="31" s="1"/>
  <c r="U128" i="31"/>
  <c r="V128" i="31" s="1"/>
  <c r="Q128" i="31"/>
  <c r="R128" i="31" s="1"/>
  <c r="M128" i="31"/>
  <c r="N128" i="31" s="1"/>
  <c r="J128" i="31"/>
  <c r="H128" i="31"/>
  <c r="F128" i="31"/>
  <c r="AC127" i="31"/>
  <c r="AD127" i="31" s="1"/>
  <c r="Y127" i="31"/>
  <c r="Z127" i="31" s="1"/>
  <c r="AA127" i="31" s="1"/>
  <c r="AB127" i="31" s="1"/>
  <c r="U127" i="31"/>
  <c r="V127" i="31" s="1"/>
  <c r="W127" i="31" s="1"/>
  <c r="X127" i="31" s="1"/>
  <c r="Q127" i="31"/>
  <c r="R127" i="31" s="1"/>
  <c r="M127" i="31"/>
  <c r="N127" i="31" s="1"/>
  <c r="J127" i="31"/>
  <c r="K127" i="31" s="1"/>
  <c r="H127" i="31"/>
  <c r="F127" i="31"/>
  <c r="AF126" i="31"/>
  <c r="AE126" i="31" s="1"/>
  <c r="AC126" i="31"/>
  <c r="AD126" i="31" s="1"/>
  <c r="Y126" i="31"/>
  <c r="Z126" i="31" s="1"/>
  <c r="U126" i="31"/>
  <c r="V126" i="31" s="1"/>
  <c r="Q126" i="31"/>
  <c r="R126" i="31" s="1"/>
  <c r="M126" i="31"/>
  <c r="N126" i="31" s="1"/>
  <c r="J126" i="31"/>
  <c r="K126" i="31" s="1"/>
  <c r="H126" i="31"/>
  <c r="F126" i="31"/>
  <c r="AC125" i="31"/>
  <c r="AD125" i="31" s="1"/>
  <c r="AF125" i="31" s="1"/>
  <c r="AE125" i="31" s="1"/>
  <c r="Y125" i="31"/>
  <c r="Z125" i="31" s="1"/>
  <c r="AA125" i="31" s="1"/>
  <c r="AB125" i="31" s="1"/>
  <c r="U125" i="31"/>
  <c r="V125" i="31" s="1"/>
  <c r="W125" i="31" s="1"/>
  <c r="X125" i="31" s="1"/>
  <c r="Q125" i="31"/>
  <c r="R125" i="31" s="1"/>
  <c r="M125" i="31"/>
  <c r="N125" i="31" s="1"/>
  <c r="J125" i="31"/>
  <c r="K125" i="31" s="1"/>
  <c r="H125" i="31"/>
  <c r="F125" i="31"/>
  <c r="AF124" i="31"/>
  <c r="AE124" i="31" s="1"/>
  <c r="AC124" i="31"/>
  <c r="AD124" i="31" s="1"/>
  <c r="Y124" i="31"/>
  <c r="Z124" i="31" s="1"/>
  <c r="AA124" i="31" s="1"/>
  <c r="AB124" i="31" s="1"/>
  <c r="U124" i="31"/>
  <c r="V124" i="31" s="1"/>
  <c r="W124" i="31" s="1"/>
  <c r="X124" i="31" s="1"/>
  <c r="S124" i="31"/>
  <c r="T124" i="31" s="1"/>
  <c r="Q124" i="31"/>
  <c r="R124" i="31" s="1"/>
  <c r="M124" i="31"/>
  <c r="N124" i="31" s="1"/>
  <c r="J124" i="31"/>
  <c r="K124" i="31" s="1"/>
  <c r="H124" i="31"/>
  <c r="F124" i="31"/>
  <c r="AC123" i="31"/>
  <c r="AD123" i="31" s="1"/>
  <c r="AF123" i="31" s="1"/>
  <c r="AE123" i="31" s="1"/>
  <c r="Y123" i="31"/>
  <c r="Z123" i="31" s="1"/>
  <c r="AA123" i="31" s="1"/>
  <c r="AB123" i="31" s="1"/>
  <c r="U123" i="31"/>
  <c r="V123" i="31" s="1"/>
  <c r="Q123" i="31"/>
  <c r="R123" i="31" s="1"/>
  <c r="M123" i="31"/>
  <c r="N123" i="31" s="1"/>
  <c r="J123" i="31"/>
  <c r="K123" i="31" s="1"/>
  <c r="H123" i="31"/>
  <c r="F123" i="31"/>
  <c r="AC122" i="31"/>
  <c r="AD122" i="31" s="1"/>
  <c r="AF122" i="31" s="1"/>
  <c r="AE122" i="31" s="1"/>
  <c r="Y122" i="31"/>
  <c r="Z122" i="31" s="1"/>
  <c r="U122" i="31"/>
  <c r="V122" i="31" s="1"/>
  <c r="Q122" i="31"/>
  <c r="R122" i="31" s="1"/>
  <c r="M122" i="31"/>
  <c r="N122" i="31" s="1"/>
  <c r="J122" i="31"/>
  <c r="H122" i="31"/>
  <c r="F122" i="31"/>
  <c r="AC121" i="31"/>
  <c r="AD121" i="31" s="1"/>
  <c r="AF121" i="31" s="1"/>
  <c r="AE121" i="31" s="1"/>
  <c r="Y121" i="31"/>
  <c r="Z121" i="31" s="1"/>
  <c r="AA121" i="31" s="1"/>
  <c r="AB121" i="31" s="1"/>
  <c r="V121" i="31"/>
  <c r="W121" i="31" s="1"/>
  <c r="X121" i="31" s="1"/>
  <c r="U121" i="31"/>
  <c r="Q121" i="31"/>
  <c r="R121" i="31" s="1"/>
  <c r="N121" i="31"/>
  <c r="M121" i="31"/>
  <c r="J121" i="31"/>
  <c r="K121" i="31" s="1"/>
  <c r="H121" i="31"/>
  <c r="F121" i="31"/>
  <c r="AC120" i="31"/>
  <c r="AD120" i="31" s="1"/>
  <c r="AF120" i="31" s="1"/>
  <c r="AE120" i="31" s="1"/>
  <c r="Y120" i="31"/>
  <c r="Z120" i="31" s="1"/>
  <c r="AA120" i="31" s="1"/>
  <c r="AB120" i="31" s="1"/>
  <c r="U120" i="31"/>
  <c r="V120" i="31" s="1"/>
  <c r="W120" i="31" s="1"/>
  <c r="X120" i="31" s="1"/>
  <c r="Q120" i="31"/>
  <c r="N120" i="31"/>
  <c r="M120" i="31"/>
  <c r="J120" i="31"/>
  <c r="K120" i="31" s="1"/>
  <c r="H120" i="31"/>
  <c r="F120" i="31"/>
  <c r="AD119" i="31"/>
  <c r="AC119" i="31"/>
  <c r="Y119" i="31"/>
  <c r="Z119" i="31" s="1"/>
  <c r="V119" i="31"/>
  <c r="U119" i="31"/>
  <c r="Q119" i="31"/>
  <c r="R119" i="31" s="1"/>
  <c r="M119" i="31"/>
  <c r="N119" i="31" s="1"/>
  <c r="J119" i="31"/>
  <c r="H119" i="31"/>
  <c r="F119" i="31"/>
  <c r="AC118" i="31"/>
  <c r="AD118" i="31" s="1"/>
  <c r="AF118" i="31" s="1"/>
  <c r="AE118" i="31" s="1"/>
  <c r="Y118" i="31"/>
  <c r="Z118" i="31" s="1"/>
  <c r="AA118" i="31" s="1"/>
  <c r="AB118" i="31" s="1"/>
  <c r="W118" i="31"/>
  <c r="X118" i="31" s="1"/>
  <c r="V118" i="31"/>
  <c r="U118" i="31"/>
  <c r="Q118" i="31"/>
  <c r="R118" i="31" s="1"/>
  <c r="M118" i="31"/>
  <c r="N118" i="31" s="1"/>
  <c r="J118" i="31"/>
  <c r="K118" i="31" s="1"/>
  <c r="H118" i="31"/>
  <c r="F118" i="31"/>
  <c r="AD117" i="31"/>
  <c r="AF117" i="31" s="1"/>
  <c r="AE117" i="31" s="1"/>
  <c r="AC117" i="31"/>
  <c r="AA117" i="31"/>
  <c r="AB117" i="31" s="1"/>
  <c r="Y117" i="31"/>
  <c r="Z117" i="31" s="1"/>
  <c r="U117" i="31"/>
  <c r="V117" i="31" s="1"/>
  <c r="W117" i="31" s="1"/>
  <c r="X117" i="31" s="1"/>
  <c r="S117" i="31"/>
  <c r="T117" i="31" s="1"/>
  <c r="Q117" i="31"/>
  <c r="R117" i="31" s="1"/>
  <c r="M117" i="31"/>
  <c r="N117" i="31" s="1"/>
  <c r="J117" i="31"/>
  <c r="K117" i="31" s="1"/>
  <c r="H117" i="31"/>
  <c r="F117" i="31"/>
  <c r="AD116" i="31"/>
  <c r="AC116" i="31"/>
  <c r="Y116" i="31"/>
  <c r="Z116" i="31" s="1"/>
  <c r="AA116" i="31" s="1"/>
  <c r="AB116" i="31" s="1"/>
  <c r="U116" i="31"/>
  <c r="V116" i="31" s="1"/>
  <c r="W116" i="31" s="1"/>
  <c r="X116" i="31" s="1"/>
  <c r="Q116" i="31"/>
  <c r="R116" i="31" s="1"/>
  <c r="N116" i="31"/>
  <c r="M116" i="31"/>
  <c r="J116" i="31"/>
  <c r="K116" i="31" s="1"/>
  <c r="H116" i="31"/>
  <c r="F116" i="31"/>
  <c r="AC115" i="31"/>
  <c r="AD115" i="31" s="1"/>
  <c r="AF115" i="31" s="1"/>
  <c r="AE115" i="31" s="1"/>
  <c r="AA115" i="31"/>
  <c r="AB115" i="31" s="1"/>
  <c r="Y115" i="31"/>
  <c r="Z115" i="31" s="1"/>
  <c r="X115" i="31"/>
  <c r="U115" i="31"/>
  <c r="V115" i="31" s="1"/>
  <c r="W115" i="31" s="1"/>
  <c r="R115" i="31"/>
  <c r="Q115" i="31"/>
  <c r="N115" i="31"/>
  <c r="M115" i="31"/>
  <c r="H115" i="31"/>
  <c r="J115" i="31" s="1"/>
  <c r="F115" i="31"/>
  <c r="AD114" i="31"/>
  <c r="AC114" i="31"/>
  <c r="Y114" i="31"/>
  <c r="Z114" i="31" s="1"/>
  <c r="AA114" i="31" s="1"/>
  <c r="AB114" i="31" s="1"/>
  <c r="V114" i="31"/>
  <c r="U114" i="31"/>
  <c r="R114" i="31"/>
  <c r="Q114" i="31"/>
  <c r="N114" i="31"/>
  <c r="M114" i="31"/>
  <c r="H114" i="31"/>
  <c r="J114" i="31" s="1"/>
  <c r="F114" i="31"/>
  <c r="AD113" i="31"/>
  <c r="AC113" i="31"/>
  <c r="Y113" i="31"/>
  <c r="Z113" i="31" s="1"/>
  <c r="AA113" i="31" s="1"/>
  <c r="AB113" i="31" s="1"/>
  <c r="V113" i="31"/>
  <c r="U113" i="31"/>
  <c r="R113" i="31"/>
  <c r="Q113" i="31"/>
  <c r="N113" i="31"/>
  <c r="M113" i="31"/>
  <c r="H113" i="31"/>
  <c r="J113" i="31" s="1"/>
  <c r="F113" i="31"/>
  <c r="AD112" i="31"/>
  <c r="AC112" i="31"/>
  <c r="Z112" i="31"/>
  <c r="Y112" i="31"/>
  <c r="V112" i="31"/>
  <c r="U112" i="31"/>
  <c r="Q112" i="31"/>
  <c r="R112" i="31" s="1"/>
  <c r="N112" i="31"/>
  <c r="M112" i="31"/>
  <c r="H112" i="31"/>
  <c r="J112" i="31" s="1"/>
  <c r="F112" i="31"/>
  <c r="AD111" i="31"/>
  <c r="AC111" i="31"/>
  <c r="Z111" i="31"/>
  <c r="AA111" i="31" s="1"/>
  <c r="AB111" i="31" s="1"/>
  <c r="Y111" i="31"/>
  <c r="V111" i="31"/>
  <c r="U111" i="31"/>
  <c r="R111" i="31"/>
  <c r="Q111" i="31"/>
  <c r="N111" i="31"/>
  <c r="M111" i="31"/>
  <c r="H111" i="31"/>
  <c r="J111" i="31" s="1"/>
  <c r="F111" i="31"/>
  <c r="AD110" i="31"/>
  <c r="AC110" i="31"/>
  <c r="Z110" i="31"/>
  <c r="AA110" i="31" s="1"/>
  <c r="AB110" i="31" s="1"/>
  <c r="Y110" i="31"/>
  <c r="V110" i="31"/>
  <c r="U110" i="31"/>
  <c r="Q110" i="31"/>
  <c r="R110" i="31" s="1"/>
  <c r="N110" i="31"/>
  <c r="M110" i="31"/>
  <c r="H110" i="31"/>
  <c r="J110" i="31" s="1"/>
  <c r="F110" i="31"/>
  <c r="AD109" i="31"/>
  <c r="AC109" i="31"/>
  <c r="Y109" i="31"/>
  <c r="Z109" i="31" s="1"/>
  <c r="AA109" i="31" s="1"/>
  <c r="AB109" i="31" s="1"/>
  <c r="V109" i="31"/>
  <c r="U109" i="31"/>
  <c r="Q109" i="31"/>
  <c r="R109" i="31" s="1"/>
  <c r="N109" i="31"/>
  <c r="M109" i="31"/>
  <c r="H109" i="31"/>
  <c r="J109" i="31" s="1"/>
  <c r="F109" i="31"/>
  <c r="AD108" i="31"/>
  <c r="AC108" i="31"/>
  <c r="Z108" i="31"/>
  <c r="Y108" i="31"/>
  <c r="W108" i="31"/>
  <c r="X108" i="31" s="1"/>
  <c r="V108" i="31"/>
  <c r="U108" i="31"/>
  <c r="Q108" i="31"/>
  <c r="R108" i="31" s="1"/>
  <c r="N108" i="31"/>
  <c r="M108" i="31"/>
  <c r="H108" i="31"/>
  <c r="J108" i="31" s="1"/>
  <c r="F108" i="31"/>
  <c r="AD107" i="31"/>
  <c r="AC107" i="31"/>
  <c r="Y107" i="31"/>
  <c r="Z107" i="31" s="1"/>
  <c r="AA107" i="31" s="1"/>
  <c r="AB107" i="31" s="1"/>
  <c r="V107" i="31"/>
  <c r="U107" i="31"/>
  <c r="R107" i="31"/>
  <c r="Q107" i="31"/>
  <c r="N107" i="31"/>
  <c r="M107" i="31"/>
  <c r="H107" i="31"/>
  <c r="J107" i="31" s="1"/>
  <c r="F107" i="31"/>
  <c r="AD106" i="31"/>
  <c r="AC106" i="31"/>
  <c r="Y106" i="31"/>
  <c r="Z106" i="31" s="1"/>
  <c r="AA106" i="31" s="1"/>
  <c r="AB106" i="31" s="1"/>
  <c r="V106" i="31"/>
  <c r="U106" i="31"/>
  <c r="R106" i="31"/>
  <c r="Q106" i="31"/>
  <c r="N106" i="31"/>
  <c r="M106" i="31"/>
  <c r="H106" i="31"/>
  <c r="J106" i="31" s="1"/>
  <c r="F106" i="31"/>
  <c r="AD105" i="31"/>
  <c r="AC105" i="31"/>
  <c r="Y105" i="31"/>
  <c r="Z105" i="31" s="1"/>
  <c r="AA105" i="31" s="1"/>
  <c r="AB105" i="31" s="1"/>
  <c r="V105" i="31"/>
  <c r="U105" i="31"/>
  <c r="R105" i="31"/>
  <c r="Q105" i="31"/>
  <c r="N105" i="31"/>
  <c r="M105" i="31"/>
  <c r="H105" i="31"/>
  <c r="J105" i="31" s="1"/>
  <c r="F105" i="31"/>
  <c r="AD104" i="31"/>
  <c r="AC104" i="31"/>
  <c r="Z104" i="31"/>
  <c r="Y104" i="31"/>
  <c r="V104" i="31"/>
  <c r="U104" i="31"/>
  <c r="Q104" i="31"/>
  <c r="R104" i="31" s="1"/>
  <c r="N104" i="31"/>
  <c r="M104" i="31"/>
  <c r="H104" i="31"/>
  <c r="J104" i="31" s="1"/>
  <c r="F104" i="31"/>
  <c r="AD103" i="31"/>
  <c r="AC103" i="31"/>
  <c r="Z103" i="31"/>
  <c r="AA103" i="31" s="1"/>
  <c r="AB103" i="31" s="1"/>
  <c r="Y103" i="31"/>
  <c r="V103" i="31"/>
  <c r="U103" i="31"/>
  <c r="R103" i="31"/>
  <c r="Q103" i="31"/>
  <c r="N103" i="31"/>
  <c r="M103" i="31"/>
  <c r="H103" i="31"/>
  <c r="J103" i="31" s="1"/>
  <c r="F103" i="31"/>
  <c r="AD102" i="31"/>
  <c r="AC102" i="31"/>
  <c r="Z102" i="31"/>
  <c r="AA102" i="31" s="1"/>
  <c r="AB102" i="31" s="1"/>
  <c r="Y102" i="31"/>
  <c r="V102" i="31"/>
  <c r="U102" i="31"/>
  <c r="Q102" i="31"/>
  <c r="R102" i="31" s="1"/>
  <c r="N102" i="31"/>
  <c r="M102" i="31"/>
  <c r="H102" i="31"/>
  <c r="J102" i="31" s="1"/>
  <c r="F102" i="31"/>
  <c r="AD101" i="31"/>
  <c r="AC101" i="31"/>
  <c r="Y101" i="31"/>
  <c r="Z101" i="31" s="1"/>
  <c r="AA101" i="31" s="1"/>
  <c r="AB101" i="31" s="1"/>
  <c r="V101" i="31"/>
  <c r="U101" i="31"/>
  <c r="Q101" i="31"/>
  <c r="R101" i="31" s="1"/>
  <c r="N101" i="31"/>
  <c r="M101" i="31"/>
  <c r="H101" i="31"/>
  <c r="J101" i="31" s="1"/>
  <c r="F101" i="31"/>
  <c r="AD100" i="31"/>
  <c r="AC100" i="31"/>
  <c r="Z100" i="31"/>
  <c r="Y100" i="31"/>
  <c r="V100" i="31"/>
  <c r="U100" i="31"/>
  <c r="Q100" i="31"/>
  <c r="R100" i="31" s="1"/>
  <c r="N100" i="31"/>
  <c r="M100" i="31"/>
  <c r="H100" i="31"/>
  <c r="J100" i="31" s="1"/>
  <c r="W100" i="31" s="1"/>
  <c r="X100" i="31" s="1"/>
  <c r="F100" i="31"/>
  <c r="AD99" i="31"/>
  <c r="AC99" i="31"/>
  <c r="Y99" i="31"/>
  <c r="Z99" i="31" s="1"/>
  <c r="AA99" i="31" s="1"/>
  <c r="AB99" i="31" s="1"/>
  <c r="V99" i="31"/>
  <c r="U99" i="31"/>
  <c r="R99" i="31"/>
  <c r="Q99" i="31"/>
  <c r="N99" i="31"/>
  <c r="M99" i="31"/>
  <c r="H99" i="31"/>
  <c r="J99" i="31" s="1"/>
  <c r="F99" i="31"/>
  <c r="AD98" i="31"/>
  <c r="AC98" i="31"/>
  <c r="Y98" i="31"/>
  <c r="Z98" i="31" s="1"/>
  <c r="AA98" i="31" s="1"/>
  <c r="AB98" i="31" s="1"/>
  <c r="V98" i="31"/>
  <c r="U98" i="31"/>
  <c r="R98" i="31"/>
  <c r="Q98" i="31"/>
  <c r="N98" i="31"/>
  <c r="M98" i="31"/>
  <c r="H98" i="31"/>
  <c r="J98" i="31" s="1"/>
  <c r="F98" i="31"/>
  <c r="AD97" i="31"/>
  <c r="AC97" i="31"/>
  <c r="Y97" i="31"/>
  <c r="Z97" i="31" s="1"/>
  <c r="AA97" i="31" s="1"/>
  <c r="AB97" i="31" s="1"/>
  <c r="W97" i="31"/>
  <c r="X97" i="31" s="1"/>
  <c r="V97" i="31"/>
  <c r="U97" i="31"/>
  <c r="R97" i="31"/>
  <c r="Q97" i="31"/>
  <c r="N97" i="31"/>
  <c r="M97" i="31"/>
  <c r="H97" i="31"/>
  <c r="J97" i="31" s="1"/>
  <c r="F97" i="31"/>
  <c r="AD96" i="31"/>
  <c r="AC96" i="31"/>
  <c r="Y96" i="31"/>
  <c r="Z96" i="31" s="1"/>
  <c r="AA96" i="31" s="1"/>
  <c r="AB96" i="31" s="1"/>
  <c r="W96" i="31"/>
  <c r="X96" i="31" s="1"/>
  <c r="V96" i="31"/>
  <c r="U96" i="31"/>
  <c r="Q96" i="31"/>
  <c r="R96" i="31" s="1"/>
  <c r="N96" i="31"/>
  <c r="M96" i="31"/>
  <c r="H96" i="31"/>
  <c r="J96" i="31" s="1"/>
  <c r="F96" i="31"/>
  <c r="AD95" i="31"/>
  <c r="AC95" i="31"/>
  <c r="Y95" i="31"/>
  <c r="Z95" i="31" s="1"/>
  <c r="AA95" i="31" s="1"/>
  <c r="AB95" i="31" s="1"/>
  <c r="X95" i="31"/>
  <c r="W95" i="31"/>
  <c r="V95" i="31"/>
  <c r="U95" i="31"/>
  <c r="Q95" i="31"/>
  <c r="R95" i="31" s="1"/>
  <c r="N95" i="31"/>
  <c r="M95" i="31"/>
  <c r="H95" i="31"/>
  <c r="J95" i="31" s="1"/>
  <c r="F95" i="31"/>
  <c r="AD94" i="31"/>
  <c r="AC94" i="31"/>
  <c r="Z94" i="31"/>
  <c r="AA94" i="31" s="1"/>
  <c r="AB94" i="31" s="1"/>
  <c r="Y94" i="31"/>
  <c r="V94" i="31"/>
  <c r="U94" i="31"/>
  <c r="R94" i="31"/>
  <c r="Q94" i="31"/>
  <c r="N94" i="31"/>
  <c r="M94" i="31"/>
  <c r="J94" i="31"/>
  <c r="K94" i="31" s="1"/>
  <c r="H94" i="31"/>
  <c r="F94" i="31"/>
  <c r="AD93" i="31"/>
  <c r="AC93" i="31"/>
  <c r="Z93" i="31"/>
  <c r="Y93" i="31"/>
  <c r="W93" i="31"/>
  <c r="X93" i="31" s="1"/>
  <c r="V93" i="31"/>
  <c r="U93" i="31"/>
  <c r="Q93" i="31"/>
  <c r="R93" i="31" s="1"/>
  <c r="N93" i="31"/>
  <c r="M93" i="31"/>
  <c r="H93" i="31"/>
  <c r="J93" i="31" s="1"/>
  <c r="AF93" i="31" s="1"/>
  <c r="AE93" i="31" s="1"/>
  <c r="F93" i="31"/>
  <c r="AD92" i="31"/>
  <c r="AC92" i="31"/>
  <c r="Y92" i="31"/>
  <c r="Z92" i="31" s="1"/>
  <c r="V92" i="31"/>
  <c r="U92" i="31"/>
  <c r="R92" i="31"/>
  <c r="Q92" i="31"/>
  <c r="N92" i="31"/>
  <c r="M92" i="31"/>
  <c r="H92" i="31"/>
  <c r="J92" i="31" s="1"/>
  <c r="F92" i="31"/>
  <c r="AD91" i="31"/>
  <c r="AC91" i="31"/>
  <c r="Y91" i="31"/>
  <c r="Z91" i="31" s="1"/>
  <c r="U91" i="31"/>
  <c r="V91" i="31" s="1"/>
  <c r="Q91" i="31"/>
  <c r="R91" i="31" s="1"/>
  <c r="M91" i="31"/>
  <c r="N91" i="31" s="1"/>
  <c r="H91" i="31"/>
  <c r="J91" i="31" s="1"/>
  <c r="F91" i="31"/>
  <c r="AF90" i="31"/>
  <c r="AE90" i="31" s="1"/>
  <c r="AD90" i="31"/>
  <c r="AC90" i="31"/>
  <c r="Y90" i="31"/>
  <c r="Z90" i="31" s="1"/>
  <c r="AA90" i="31" s="1"/>
  <c r="AB90" i="31" s="1"/>
  <c r="V90" i="31"/>
  <c r="W90" i="31" s="1"/>
  <c r="X90" i="31" s="1"/>
  <c r="U90" i="31"/>
  <c r="Q90" i="31"/>
  <c r="R90" i="31" s="1"/>
  <c r="M90" i="31"/>
  <c r="N90" i="31" s="1"/>
  <c r="J90" i="31"/>
  <c r="K90" i="31" s="1"/>
  <c r="H90" i="31"/>
  <c r="F90" i="31"/>
  <c r="AC89" i="31"/>
  <c r="AD89" i="31" s="1"/>
  <c r="Z89" i="31"/>
  <c r="Y89" i="31"/>
  <c r="V89" i="31"/>
  <c r="W89" i="31" s="1"/>
  <c r="X89" i="31" s="1"/>
  <c r="U89" i="31"/>
  <c r="R89" i="31"/>
  <c r="Q89" i="31"/>
  <c r="M89" i="31"/>
  <c r="N89" i="31" s="1"/>
  <c r="H89" i="31"/>
  <c r="J89" i="31" s="1"/>
  <c r="K89" i="31" s="1"/>
  <c r="F89" i="31"/>
  <c r="AC88" i="31"/>
  <c r="AD88" i="31" s="1"/>
  <c r="AF88" i="31" s="1"/>
  <c r="AE88" i="31" s="1"/>
  <c r="AA88" i="31"/>
  <c r="AB88" i="31" s="1"/>
  <c r="Y88" i="31"/>
  <c r="Z88" i="31" s="1"/>
  <c r="U88" i="31"/>
  <c r="V88" i="31" s="1"/>
  <c r="W88" i="31" s="1"/>
  <c r="X88" i="31" s="1"/>
  <c r="Q88" i="31"/>
  <c r="M88" i="31"/>
  <c r="N88" i="31" s="1"/>
  <c r="K88" i="31"/>
  <c r="J88" i="31"/>
  <c r="H88" i="31"/>
  <c r="F88" i="31"/>
  <c r="AC87" i="31"/>
  <c r="AD87" i="31" s="1"/>
  <c r="AF87" i="31" s="1"/>
  <c r="AE87" i="31" s="1"/>
  <c r="AA87" i="31"/>
  <c r="AB87" i="31" s="1"/>
  <c r="Y87" i="31"/>
  <c r="Z87" i="31" s="1"/>
  <c r="U87" i="31"/>
  <c r="V87" i="31" s="1"/>
  <c r="W87" i="31" s="1"/>
  <c r="X87" i="31" s="1"/>
  <c r="Q87" i="31"/>
  <c r="M87" i="31"/>
  <c r="N87" i="31" s="1"/>
  <c r="K87" i="31"/>
  <c r="J87" i="31"/>
  <c r="H87" i="31"/>
  <c r="F87" i="31"/>
  <c r="AC86" i="31"/>
  <c r="AD86" i="31" s="1"/>
  <c r="AF86" i="31" s="1"/>
  <c r="AE86" i="31" s="1"/>
  <c r="AA86" i="31"/>
  <c r="AB86" i="31" s="1"/>
  <c r="Y86" i="31"/>
  <c r="Z86" i="31" s="1"/>
  <c r="U86" i="31"/>
  <c r="V86" i="31" s="1"/>
  <c r="W86" i="31" s="1"/>
  <c r="X86" i="31" s="1"/>
  <c r="Q86" i="31"/>
  <c r="M86" i="31"/>
  <c r="N86" i="31" s="1"/>
  <c r="K86" i="31"/>
  <c r="J86" i="31"/>
  <c r="H86" i="31"/>
  <c r="F86" i="31"/>
  <c r="AC85" i="31"/>
  <c r="AD85" i="31" s="1"/>
  <c r="AF85" i="31" s="1"/>
  <c r="AE85" i="31" s="1"/>
  <c r="AA85" i="31"/>
  <c r="AB85" i="31" s="1"/>
  <c r="Y85" i="31"/>
  <c r="Z85" i="31" s="1"/>
  <c r="U85" i="31"/>
  <c r="V85" i="31" s="1"/>
  <c r="W85" i="31" s="1"/>
  <c r="X85" i="31" s="1"/>
  <c r="Q85" i="31"/>
  <c r="M85" i="31"/>
  <c r="N85" i="31" s="1"/>
  <c r="K85" i="31"/>
  <c r="J85" i="31"/>
  <c r="H85" i="31"/>
  <c r="F85" i="31"/>
  <c r="AC84" i="31"/>
  <c r="AD84" i="31" s="1"/>
  <c r="AF84" i="31" s="1"/>
  <c r="AE84" i="31" s="1"/>
  <c r="AA84" i="31"/>
  <c r="AB84" i="31" s="1"/>
  <c r="Y84" i="31"/>
  <c r="Z84" i="31" s="1"/>
  <c r="U84" i="31"/>
  <c r="V84" i="31" s="1"/>
  <c r="W84" i="31" s="1"/>
  <c r="X84" i="31" s="1"/>
  <c r="Q84" i="31"/>
  <c r="M84" i="31"/>
  <c r="N84" i="31" s="1"/>
  <c r="K84" i="31"/>
  <c r="J84" i="31"/>
  <c r="H84" i="31"/>
  <c r="F84" i="31"/>
  <c r="AC83" i="31"/>
  <c r="AD83" i="31" s="1"/>
  <c r="AF83" i="31" s="1"/>
  <c r="AE83" i="31" s="1"/>
  <c r="AA83" i="31"/>
  <c r="AB83" i="31" s="1"/>
  <c r="Y83" i="31"/>
  <c r="Z83" i="31" s="1"/>
  <c r="U83" i="31"/>
  <c r="V83" i="31" s="1"/>
  <c r="W83" i="31" s="1"/>
  <c r="X83" i="31" s="1"/>
  <c r="Q83" i="31"/>
  <c r="M83" i="31"/>
  <c r="N83" i="31" s="1"/>
  <c r="K83" i="31"/>
  <c r="J83" i="31"/>
  <c r="H83" i="31"/>
  <c r="F83" i="31"/>
  <c r="AC82" i="31"/>
  <c r="AD82" i="31" s="1"/>
  <c r="AF82" i="31" s="1"/>
  <c r="AE82" i="31" s="1"/>
  <c r="AA82" i="31"/>
  <c r="AB82" i="31" s="1"/>
  <c r="Y82" i="31"/>
  <c r="Z82" i="31" s="1"/>
  <c r="U82" i="31"/>
  <c r="V82" i="31" s="1"/>
  <c r="W82" i="31" s="1"/>
  <c r="X82" i="31" s="1"/>
  <c r="Q82" i="31"/>
  <c r="M82" i="31"/>
  <c r="N82" i="31" s="1"/>
  <c r="K82" i="31"/>
  <c r="J82" i="31"/>
  <c r="H82" i="31"/>
  <c r="F82" i="31"/>
  <c r="AC81" i="31"/>
  <c r="AD81" i="31" s="1"/>
  <c r="AF81" i="31" s="1"/>
  <c r="AE81" i="31" s="1"/>
  <c r="AA81" i="31"/>
  <c r="AB81" i="31" s="1"/>
  <c r="Y81" i="31"/>
  <c r="Z81" i="31" s="1"/>
  <c r="U81" i="31"/>
  <c r="V81" i="31" s="1"/>
  <c r="W81" i="31" s="1"/>
  <c r="X81" i="31" s="1"/>
  <c r="Q81" i="31"/>
  <c r="M81" i="31"/>
  <c r="N81" i="31" s="1"/>
  <c r="K81" i="31"/>
  <c r="J81" i="31"/>
  <c r="H81" i="31"/>
  <c r="F81" i="31"/>
  <c r="AC80" i="31"/>
  <c r="AD80" i="31" s="1"/>
  <c r="AF80" i="31" s="1"/>
  <c r="AE80" i="31" s="1"/>
  <c r="AA80" i="31"/>
  <c r="AB80" i="31" s="1"/>
  <c r="Y80" i="31"/>
  <c r="Z80" i="31" s="1"/>
  <c r="U80" i="31"/>
  <c r="V80" i="31" s="1"/>
  <c r="W80" i="31" s="1"/>
  <c r="X80" i="31" s="1"/>
  <c r="Q80" i="31"/>
  <c r="M80" i="31"/>
  <c r="N80" i="31" s="1"/>
  <c r="K80" i="31"/>
  <c r="J80" i="31"/>
  <c r="H80" i="31"/>
  <c r="F80" i="31"/>
  <c r="AC79" i="31"/>
  <c r="AD79" i="31" s="1"/>
  <c r="AF79" i="31" s="1"/>
  <c r="AE79" i="31" s="1"/>
  <c r="AA79" i="31"/>
  <c r="AB79" i="31" s="1"/>
  <c r="Y79" i="31"/>
  <c r="Z79" i="31" s="1"/>
  <c r="U79" i="31"/>
  <c r="V79" i="31" s="1"/>
  <c r="W79" i="31" s="1"/>
  <c r="X79" i="31" s="1"/>
  <c r="Q79" i="31"/>
  <c r="M79" i="31"/>
  <c r="N79" i="31" s="1"/>
  <c r="K79" i="31"/>
  <c r="J79" i="31"/>
  <c r="H79" i="31"/>
  <c r="F79" i="31"/>
  <c r="AC78" i="31"/>
  <c r="AD78" i="31" s="1"/>
  <c r="AF78" i="31" s="1"/>
  <c r="AE78" i="31" s="1"/>
  <c r="AA78" i="31"/>
  <c r="AB78" i="31" s="1"/>
  <c r="Y78" i="31"/>
  <c r="Z78" i="31" s="1"/>
  <c r="U78" i="31"/>
  <c r="V78" i="31" s="1"/>
  <c r="W78" i="31" s="1"/>
  <c r="X78" i="31" s="1"/>
  <c r="Q78" i="31"/>
  <c r="M78" i="31"/>
  <c r="N78" i="31" s="1"/>
  <c r="K78" i="31"/>
  <c r="J78" i="31"/>
  <c r="H78" i="31"/>
  <c r="F78" i="31"/>
  <c r="AC77" i="31"/>
  <c r="AD77" i="31" s="1"/>
  <c r="AF77" i="31" s="1"/>
  <c r="AE77" i="31" s="1"/>
  <c r="AA77" i="31"/>
  <c r="AB77" i="31" s="1"/>
  <c r="Y77" i="31"/>
  <c r="Z77" i="31" s="1"/>
  <c r="U77" i="31"/>
  <c r="V77" i="31" s="1"/>
  <c r="W77" i="31" s="1"/>
  <c r="X77" i="31" s="1"/>
  <c r="Q77" i="31"/>
  <c r="M77" i="31"/>
  <c r="N77" i="31" s="1"/>
  <c r="K77" i="31"/>
  <c r="J77" i="31"/>
  <c r="H77" i="31"/>
  <c r="F77" i="31"/>
  <c r="AC76" i="31"/>
  <c r="AD76" i="31" s="1"/>
  <c r="AF76" i="31" s="1"/>
  <c r="AE76" i="31" s="1"/>
  <c r="Z76" i="31"/>
  <c r="Y76" i="31"/>
  <c r="U76" i="31"/>
  <c r="V76" i="31" s="1"/>
  <c r="Q76" i="31"/>
  <c r="R76" i="31" s="1"/>
  <c r="M76" i="31"/>
  <c r="N76" i="31" s="1"/>
  <c r="H76" i="31"/>
  <c r="J76" i="31" s="1"/>
  <c r="F76" i="31"/>
  <c r="AC75" i="31"/>
  <c r="AD75" i="31" s="1"/>
  <c r="AF75" i="31" s="1"/>
  <c r="AE75" i="31" s="1"/>
  <c r="Y75" i="31"/>
  <c r="Z75" i="31" s="1"/>
  <c r="AA75" i="31" s="1"/>
  <c r="AB75" i="31" s="1"/>
  <c r="U75" i="31"/>
  <c r="V75" i="31" s="1"/>
  <c r="R75" i="31"/>
  <c r="Q75" i="31"/>
  <c r="M75" i="31"/>
  <c r="N75" i="31" s="1"/>
  <c r="J75" i="31"/>
  <c r="H75" i="31"/>
  <c r="F75" i="31"/>
  <c r="AC74" i="31"/>
  <c r="AD74" i="31" s="1"/>
  <c r="Y74" i="31"/>
  <c r="Z74" i="31" s="1"/>
  <c r="AA74" i="31" s="1"/>
  <c r="AB74" i="31" s="1"/>
  <c r="U74" i="31"/>
  <c r="V74" i="31" s="1"/>
  <c r="Q74" i="31"/>
  <c r="R74" i="31" s="1"/>
  <c r="M74" i="31"/>
  <c r="N74" i="31" s="1"/>
  <c r="J74" i="31"/>
  <c r="AF74" i="31" s="1"/>
  <c r="AE74" i="31" s="1"/>
  <c r="H74" i="31"/>
  <c r="F74" i="31"/>
  <c r="AC73" i="31"/>
  <c r="AD73" i="31" s="1"/>
  <c r="AF73" i="31" s="1"/>
  <c r="AE73" i="31" s="1"/>
  <c r="Y73" i="31"/>
  <c r="Z73" i="31" s="1"/>
  <c r="U73" i="31"/>
  <c r="V73" i="31" s="1"/>
  <c r="Q73" i="31"/>
  <c r="R73" i="31" s="1"/>
  <c r="M73" i="31"/>
  <c r="N73" i="31" s="1"/>
  <c r="H73" i="31"/>
  <c r="J73" i="31" s="1"/>
  <c r="F73" i="31"/>
  <c r="AC72" i="31"/>
  <c r="AD72" i="31" s="1"/>
  <c r="Z72" i="31"/>
  <c r="Y72" i="31"/>
  <c r="U72" i="31"/>
  <c r="V72" i="31" s="1"/>
  <c r="Q72" i="31"/>
  <c r="R72" i="31" s="1"/>
  <c r="M72" i="31"/>
  <c r="N72" i="31" s="1"/>
  <c r="H72" i="31"/>
  <c r="J72" i="31" s="1"/>
  <c r="F72" i="31"/>
  <c r="AC71" i="31"/>
  <c r="AD71" i="31" s="1"/>
  <c r="Y71" i="31"/>
  <c r="Z71" i="31" s="1"/>
  <c r="U71" i="31"/>
  <c r="V71" i="31" s="1"/>
  <c r="R71" i="31"/>
  <c r="Q71" i="31"/>
  <c r="M71" i="31"/>
  <c r="N71" i="31" s="1"/>
  <c r="J71" i="31"/>
  <c r="K71" i="31" s="1"/>
  <c r="H71" i="31"/>
  <c r="F71" i="31"/>
  <c r="AC70" i="31"/>
  <c r="AD70" i="31" s="1"/>
  <c r="Y70" i="31"/>
  <c r="Z70" i="31" s="1"/>
  <c r="AA70" i="31" s="1"/>
  <c r="AB70" i="31" s="1"/>
  <c r="U70" i="31"/>
  <c r="V70" i="31" s="1"/>
  <c r="W70" i="31" s="1"/>
  <c r="X70" i="31" s="1"/>
  <c r="Q70" i="31"/>
  <c r="R70" i="31" s="1"/>
  <c r="N70" i="31"/>
  <c r="M70" i="31"/>
  <c r="K70" i="31"/>
  <c r="J70" i="31"/>
  <c r="AF70" i="31" s="1"/>
  <c r="AE70" i="31" s="1"/>
  <c r="H70" i="31"/>
  <c r="F70" i="31"/>
  <c r="AD69" i="31"/>
  <c r="AF69" i="31" s="1"/>
  <c r="AE69" i="31" s="1"/>
  <c r="AC69" i="31"/>
  <c r="AB69" i="31"/>
  <c r="Y69" i="31"/>
  <c r="Z69" i="31" s="1"/>
  <c r="AA69" i="31" s="1"/>
  <c r="V69" i="31"/>
  <c r="W69" i="31" s="1"/>
  <c r="X69" i="31" s="1"/>
  <c r="U69" i="31"/>
  <c r="Q69" i="31"/>
  <c r="R69" i="31" s="1"/>
  <c r="N69" i="31"/>
  <c r="M69" i="31"/>
  <c r="K69" i="31"/>
  <c r="J69" i="31"/>
  <c r="S69" i="31" s="1"/>
  <c r="T69" i="31" s="1"/>
  <c r="H69" i="31"/>
  <c r="F69" i="31"/>
  <c r="AD68" i="31"/>
  <c r="AF68" i="31" s="1"/>
  <c r="AE68" i="31" s="1"/>
  <c r="AC68" i="31"/>
  <c r="AB68" i="31"/>
  <c r="Y68" i="31"/>
  <c r="Z68" i="31" s="1"/>
  <c r="AA68" i="31" s="1"/>
  <c r="V68" i="31"/>
  <c r="W68" i="31" s="1"/>
  <c r="X68" i="31" s="1"/>
  <c r="U68" i="31"/>
  <c r="Q68" i="31"/>
  <c r="R68" i="31" s="1"/>
  <c r="N68" i="31"/>
  <c r="M68" i="31"/>
  <c r="K68" i="31"/>
  <c r="J68" i="31"/>
  <c r="S68" i="31" s="1"/>
  <c r="T68" i="31" s="1"/>
  <c r="H68" i="31"/>
  <c r="F68" i="31"/>
  <c r="AD67" i="31"/>
  <c r="AF67" i="31" s="1"/>
  <c r="AE67" i="31" s="1"/>
  <c r="AC67" i="31"/>
  <c r="AB67" i="31"/>
  <c r="Y67" i="31"/>
  <c r="Z67" i="31" s="1"/>
  <c r="AA67" i="31" s="1"/>
  <c r="W67" i="31"/>
  <c r="X67" i="31" s="1"/>
  <c r="V67" i="31"/>
  <c r="U67" i="31"/>
  <c r="Q67" i="31"/>
  <c r="R67" i="31" s="1"/>
  <c r="N67" i="31"/>
  <c r="M67" i="31"/>
  <c r="K67" i="31"/>
  <c r="J67" i="31"/>
  <c r="S67" i="31" s="1"/>
  <c r="T67" i="31" s="1"/>
  <c r="H67" i="31"/>
  <c r="F67" i="31"/>
  <c r="AD66" i="31"/>
  <c r="AF66" i="31" s="1"/>
  <c r="AE66" i="31" s="1"/>
  <c r="AC66" i="31"/>
  <c r="Y66" i="31"/>
  <c r="Z66" i="31" s="1"/>
  <c r="AA66" i="31" s="1"/>
  <c r="AB66" i="31" s="1"/>
  <c r="W66" i="31"/>
  <c r="X66" i="31" s="1"/>
  <c r="V66" i="31"/>
  <c r="U66" i="31"/>
  <c r="T66" i="31"/>
  <c r="Q66" i="31"/>
  <c r="R66" i="31" s="1"/>
  <c r="N66" i="31"/>
  <c r="M66" i="31"/>
  <c r="K66" i="31"/>
  <c r="J66" i="31"/>
  <c r="S66" i="31" s="1"/>
  <c r="H66" i="31"/>
  <c r="F66" i="31"/>
  <c r="AE65" i="31"/>
  <c r="AD65" i="31"/>
  <c r="AF65" i="31" s="1"/>
  <c r="AC65" i="31"/>
  <c r="AB65" i="31"/>
  <c r="Y65" i="31"/>
  <c r="Z65" i="31" s="1"/>
  <c r="AA65" i="31" s="1"/>
  <c r="W65" i="31"/>
  <c r="X65" i="31" s="1"/>
  <c r="V65" i="31"/>
  <c r="U65" i="31"/>
  <c r="T65" i="31"/>
  <c r="Q65" i="31"/>
  <c r="R65" i="31" s="1"/>
  <c r="N65" i="31"/>
  <c r="M65" i="31"/>
  <c r="K65" i="31"/>
  <c r="J65" i="31"/>
  <c r="S65" i="31" s="1"/>
  <c r="H65" i="31"/>
  <c r="F65" i="31"/>
  <c r="AE64" i="31"/>
  <c r="AD64" i="31"/>
  <c r="AF64" i="31" s="1"/>
  <c r="AC64" i="31"/>
  <c r="AB64" i="31"/>
  <c r="Y64" i="31"/>
  <c r="Z64" i="31" s="1"/>
  <c r="AA64" i="31" s="1"/>
  <c r="V64" i="31"/>
  <c r="W64" i="31" s="1"/>
  <c r="X64" i="31" s="1"/>
  <c r="U64" i="31"/>
  <c r="T64" i="31"/>
  <c r="Q64" i="31"/>
  <c r="R64" i="31" s="1"/>
  <c r="N64" i="31"/>
  <c r="M64" i="31"/>
  <c r="K64" i="31"/>
  <c r="J64" i="31"/>
  <c r="S64" i="31" s="1"/>
  <c r="H64" i="31"/>
  <c r="F64" i="31"/>
  <c r="AD63" i="31"/>
  <c r="AF63" i="31" s="1"/>
  <c r="AE63" i="31" s="1"/>
  <c r="AC63" i="31"/>
  <c r="AB63" i="31"/>
  <c r="Y63" i="31"/>
  <c r="Z63" i="31" s="1"/>
  <c r="AA63" i="31" s="1"/>
  <c r="V63" i="31"/>
  <c r="W63" i="31" s="1"/>
  <c r="X63" i="31" s="1"/>
  <c r="U63" i="31"/>
  <c r="Q63" i="31"/>
  <c r="R63" i="31" s="1"/>
  <c r="N63" i="31"/>
  <c r="M63" i="31"/>
  <c r="K63" i="31"/>
  <c r="J63" i="31"/>
  <c r="S63" i="31" s="1"/>
  <c r="T63" i="31" s="1"/>
  <c r="H63" i="31"/>
  <c r="F63" i="31"/>
  <c r="AE62" i="31"/>
  <c r="AD62" i="31"/>
  <c r="AF62" i="31" s="1"/>
  <c r="AC62" i="31"/>
  <c r="Y62" i="31"/>
  <c r="Z62" i="31" s="1"/>
  <c r="AA62" i="31" s="1"/>
  <c r="AB62" i="31" s="1"/>
  <c r="W62" i="31"/>
  <c r="X62" i="31" s="1"/>
  <c r="V62" i="31"/>
  <c r="U62" i="31"/>
  <c r="T62" i="31"/>
  <c r="Q62" i="31"/>
  <c r="R62" i="31" s="1"/>
  <c r="N62" i="31"/>
  <c r="M62" i="31"/>
  <c r="K62" i="31"/>
  <c r="J62" i="31"/>
  <c r="S62" i="31" s="1"/>
  <c r="H62" i="31"/>
  <c r="F62" i="31"/>
  <c r="AE61" i="31"/>
  <c r="AD61" i="31"/>
  <c r="AF61" i="31" s="1"/>
  <c r="AC61" i="31"/>
  <c r="Y61" i="31"/>
  <c r="Z61" i="31" s="1"/>
  <c r="AA61" i="31" s="1"/>
  <c r="AB61" i="31" s="1"/>
  <c r="W61" i="31"/>
  <c r="X61" i="31" s="1"/>
  <c r="V61" i="31"/>
  <c r="U61" i="31"/>
  <c r="T61" i="31"/>
  <c r="Q61" i="31"/>
  <c r="R61" i="31" s="1"/>
  <c r="N61" i="31"/>
  <c r="M61" i="31"/>
  <c r="K61" i="31"/>
  <c r="J61" i="31"/>
  <c r="S61" i="31" s="1"/>
  <c r="H61" i="31"/>
  <c r="F61" i="31"/>
  <c r="AE60" i="31"/>
  <c r="AD60" i="31"/>
  <c r="AF60" i="31" s="1"/>
  <c r="AC60" i="31"/>
  <c r="AB60" i="31"/>
  <c r="Y60" i="31"/>
  <c r="Z60" i="31" s="1"/>
  <c r="AA60" i="31" s="1"/>
  <c r="V60" i="31"/>
  <c r="W60" i="31" s="1"/>
  <c r="X60" i="31" s="1"/>
  <c r="U60" i="31"/>
  <c r="Q60" i="31"/>
  <c r="R60" i="31" s="1"/>
  <c r="N60" i="31"/>
  <c r="M60" i="31"/>
  <c r="K60" i="31"/>
  <c r="J60" i="31"/>
  <c r="S60" i="31" s="1"/>
  <c r="T60" i="31" s="1"/>
  <c r="H60" i="31"/>
  <c r="F60" i="31"/>
  <c r="AD59" i="31"/>
  <c r="AF59" i="31" s="1"/>
  <c r="AE59" i="31" s="1"/>
  <c r="AC59" i="31"/>
  <c r="AB59" i="31"/>
  <c r="Y59" i="31"/>
  <c r="Z59" i="31" s="1"/>
  <c r="AA59" i="31" s="1"/>
  <c r="W59" i="31"/>
  <c r="X59" i="31" s="1"/>
  <c r="V59" i="31"/>
  <c r="U59" i="31"/>
  <c r="Q59" i="31"/>
  <c r="R59" i="31" s="1"/>
  <c r="N59" i="31"/>
  <c r="M59" i="31"/>
  <c r="K59" i="31"/>
  <c r="J59" i="31"/>
  <c r="S59" i="31" s="1"/>
  <c r="T59" i="31" s="1"/>
  <c r="H59" i="31"/>
  <c r="F59" i="31"/>
  <c r="AD58" i="31"/>
  <c r="AF58" i="31" s="1"/>
  <c r="AE58" i="31" s="1"/>
  <c r="AC58" i="31"/>
  <c r="Y58" i="31"/>
  <c r="Z58" i="31" s="1"/>
  <c r="AA58" i="31" s="1"/>
  <c r="AB58" i="31" s="1"/>
  <c r="W58" i="31"/>
  <c r="X58" i="31" s="1"/>
  <c r="V58" i="31"/>
  <c r="U58" i="31"/>
  <c r="T58" i="31"/>
  <c r="Q58" i="31"/>
  <c r="R58" i="31" s="1"/>
  <c r="N58" i="31"/>
  <c r="M58" i="31"/>
  <c r="K58" i="31"/>
  <c r="J58" i="31"/>
  <c r="S58" i="31" s="1"/>
  <c r="H58" i="31"/>
  <c r="F58" i="31"/>
  <c r="AE57" i="31"/>
  <c r="AD57" i="31"/>
  <c r="AF57" i="31" s="1"/>
  <c r="AC57" i="31"/>
  <c r="AB57" i="31"/>
  <c r="Y57" i="31"/>
  <c r="Z57" i="31" s="1"/>
  <c r="AA57" i="31" s="1"/>
  <c r="W57" i="31"/>
  <c r="X57" i="31" s="1"/>
  <c r="V57" i="31"/>
  <c r="U57" i="31"/>
  <c r="T57" i="31"/>
  <c r="Q57" i="31"/>
  <c r="R57" i="31" s="1"/>
  <c r="N57" i="31"/>
  <c r="M57" i="31"/>
  <c r="K57" i="31"/>
  <c r="J57" i="31"/>
  <c r="S57" i="31" s="1"/>
  <c r="H57" i="31"/>
  <c r="F57" i="31"/>
  <c r="AE56" i="31"/>
  <c r="AD56" i="31"/>
  <c r="AF56" i="31" s="1"/>
  <c r="AC56" i="31"/>
  <c r="AB56" i="31"/>
  <c r="Y56" i="31"/>
  <c r="Z56" i="31" s="1"/>
  <c r="AA56" i="31" s="1"/>
  <c r="V56" i="31"/>
  <c r="W56" i="31" s="1"/>
  <c r="X56" i="31" s="1"/>
  <c r="U56" i="31"/>
  <c r="T56" i="31"/>
  <c r="Q56" i="31"/>
  <c r="R56" i="31" s="1"/>
  <c r="N56" i="31"/>
  <c r="M56" i="31"/>
  <c r="K56" i="31"/>
  <c r="J56" i="31"/>
  <c r="S56" i="31" s="1"/>
  <c r="H56" i="31"/>
  <c r="F56" i="31"/>
  <c r="AD55" i="31"/>
  <c r="AF55" i="31" s="1"/>
  <c r="AE55" i="31" s="1"/>
  <c r="AC55" i="31"/>
  <c r="AB55" i="31"/>
  <c r="Y55" i="31"/>
  <c r="Z55" i="31" s="1"/>
  <c r="AA55" i="31" s="1"/>
  <c r="V55" i="31"/>
  <c r="W55" i="31" s="1"/>
  <c r="X55" i="31" s="1"/>
  <c r="U55" i="31"/>
  <c r="Q55" i="31"/>
  <c r="R55" i="31" s="1"/>
  <c r="N55" i="31"/>
  <c r="M55" i="31"/>
  <c r="K55" i="31"/>
  <c r="J55" i="31"/>
  <c r="S55" i="31" s="1"/>
  <c r="T55" i="31" s="1"/>
  <c r="H55" i="31"/>
  <c r="F55" i="31"/>
  <c r="AE54" i="31"/>
  <c r="AD54" i="31"/>
  <c r="AF54" i="31" s="1"/>
  <c r="AC54" i="31"/>
  <c r="Y54" i="31"/>
  <c r="Z54" i="31" s="1"/>
  <c r="AA54" i="31" s="1"/>
  <c r="AB54" i="31" s="1"/>
  <c r="W54" i="31"/>
  <c r="X54" i="31" s="1"/>
  <c r="V54" i="31"/>
  <c r="U54" i="31"/>
  <c r="T54" i="31"/>
  <c r="Q54" i="31"/>
  <c r="R54" i="31" s="1"/>
  <c r="N54" i="31"/>
  <c r="M54" i="31"/>
  <c r="K54" i="31"/>
  <c r="J54" i="31"/>
  <c r="S54" i="31" s="1"/>
  <c r="H54" i="31"/>
  <c r="F54" i="31"/>
  <c r="AE53" i="31"/>
  <c r="AD53" i="31"/>
  <c r="AF53" i="31" s="1"/>
  <c r="AC53" i="31"/>
  <c r="Y53" i="31"/>
  <c r="Z53" i="31" s="1"/>
  <c r="AA53" i="31" s="1"/>
  <c r="AB53" i="31" s="1"/>
  <c r="W53" i="31"/>
  <c r="X53" i="31" s="1"/>
  <c r="V53" i="31"/>
  <c r="U53" i="31"/>
  <c r="T53" i="31"/>
  <c r="Q53" i="31"/>
  <c r="R53" i="31" s="1"/>
  <c r="N53" i="31"/>
  <c r="M53" i="31"/>
  <c r="K53" i="31"/>
  <c r="J53" i="31"/>
  <c r="S53" i="31" s="1"/>
  <c r="H53" i="31"/>
  <c r="F53" i="31"/>
  <c r="AE52" i="31"/>
  <c r="AD52" i="31"/>
  <c r="AF52" i="31" s="1"/>
  <c r="AC52" i="31"/>
  <c r="AB52" i="31"/>
  <c r="Y52" i="31"/>
  <c r="Z52" i="31" s="1"/>
  <c r="AA52" i="31" s="1"/>
  <c r="V52" i="31"/>
  <c r="W52" i="31" s="1"/>
  <c r="X52" i="31" s="1"/>
  <c r="U52" i="31"/>
  <c r="Q52" i="31"/>
  <c r="R52" i="31" s="1"/>
  <c r="N52" i="31"/>
  <c r="M52" i="31"/>
  <c r="K52" i="31"/>
  <c r="J52" i="31"/>
  <c r="S52" i="31" s="1"/>
  <c r="T52" i="31" s="1"/>
  <c r="H52" i="31"/>
  <c r="F52" i="31"/>
  <c r="AD51" i="31"/>
  <c r="AF51" i="31" s="1"/>
  <c r="AE51" i="31" s="1"/>
  <c r="AC51" i="31"/>
  <c r="AB51" i="31"/>
  <c r="Y51" i="31"/>
  <c r="Z51" i="31" s="1"/>
  <c r="AA51" i="31" s="1"/>
  <c r="W51" i="31"/>
  <c r="X51" i="31" s="1"/>
  <c r="V51" i="31"/>
  <c r="U51" i="31"/>
  <c r="Q51" i="31"/>
  <c r="R51" i="31" s="1"/>
  <c r="N51" i="31"/>
  <c r="M51" i="31"/>
  <c r="K51" i="31"/>
  <c r="J51" i="31"/>
  <c r="S51" i="31" s="1"/>
  <c r="T51" i="31" s="1"/>
  <c r="H51" i="31"/>
  <c r="F51" i="31"/>
  <c r="AD50" i="31"/>
  <c r="AF50" i="31" s="1"/>
  <c r="AE50" i="31" s="1"/>
  <c r="AC50" i="31"/>
  <c r="Y50" i="31"/>
  <c r="Z50" i="31" s="1"/>
  <c r="AA50" i="31" s="1"/>
  <c r="AB50" i="31" s="1"/>
  <c r="W50" i="31"/>
  <c r="X50" i="31" s="1"/>
  <c r="V50" i="31"/>
  <c r="U50" i="31"/>
  <c r="Q50" i="31"/>
  <c r="R50" i="31" s="1"/>
  <c r="N50" i="31"/>
  <c r="M50" i="31"/>
  <c r="K50" i="31"/>
  <c r="J50" i="31"/>
  <c r="H50" i="31"/>
  <c r="F50" i="31"/>
  <c r="AE49" i="31"/>
  <c r="AD49" i="31"/>
  <c r="AF49" i="31" s="1"/>
  <c r="AC49" i="31"/>
  <c r="AB49" i="31"/>
  <c r="Y49" i="31"/>
  <c r="Z49" i="31" s="1"/>
  <c r="AA49" i="31" s="1"/>
  <c r="W49" i="31"/>
  <c r="X49" i="31" s="1"/>
  <c r="V49" i="31"/>
  <c r="U49" i="31"/>
  <c r="Q49" i="31"/>
  <c r="R49" i="31" s="1"/>
  <c r="N49" i="31"/>
  <c r="M49" i="31"/>
  <c r="K49" i="31"/>
  <c r="J49" i="31"/>
  <c r="H49" i="31"/>
  <c r="F49" i="31"/>
  <c r="AC48" i="31"/>
  <c r="AD48" i="31" s="1"/>
  <c r="AF48" i="31" s="1"/>
  <c r="AE48" i="31" s="1"/>
  <c r="AB48" i="31"/>
  <c r="Y48" i="31"/>
  <c r="Z48" i="31" s="1"/>
  <c r="AA48" i="31" s="1"/>
  <c r="U48" i="31"/>
  <c r="V48" i="31" s="1"/>
  <c r="W48" i="31" s="1"/>
  <c r="X48" i="31" s="1"/>
  <c r="Q48" i="31"/>
  <c r="R48" i="31" s="1"/>
  <c r="N48" i="31"/>
  <c r="M48" i="31"/>
  <c r="K48" i="31"/>
  <c r="J48" i="31"/>
  <c r="H48" i="31"/>
  <c r="F48" i="31"/>
  <c r="AE47" i="31"/>
  <c r="AD47" i="31"/>
  <c r="AF47" i="31" s="1"/>
  <c r="AC47" i="31"/>
  <c r="Y47" i="31"/>
  <c r="Z47" i="31" s="1"/>
  <c r="AA47" i="31" s="1"/>
  <c r="AB47" i="31" s="1"/>
  <c r="U47" i="31"/>
  <c r="V47" i="31" s="1"/>
  <c r="W47" i="31" s="1"/>
  <c r="X47" i="31" s="1"/>
  <c r="Q47" i="31"/>
  <c r="R47" i="31" s="1"/>
  <c r="N47" i="31"/>
  <c r="M47" i="31"/>
  <c r="K47" i="31"/>
  <c r="J47" i="31"/>
  <c r="S47" i="31" s="1"/>
  <c r="T47" i="31" s="1"/>
  <c r="H47" i="31"/>
  <c r="F47" i="31"/>
  <c r="AD46" i="31"/>
  <c r="AF46" i="31" s="1"/>
  <c r="AE46" i="31" s="1"/>
  <c r="AC46" i="31"/>
  <c r="Y46" i="31"/>
  <c r="Z46" i="31" s="1"/>
  <c r="AA46" i="31" s="1"/>
  <c r="AB46" i="31" s="1"/>
  <c r="U46" i="31"/>
  <c r="V46" i="31" s="1"/>
  <c r="W46" i="31" s="1"/>
  <c r="X46" i="31" s="1"/>
  <c r="Q46" i="31"/>
  <c r="R46" i="31" s="1"/>
  <c r="N46" i="31"/>
  <c r="M46" i="31"/>
  <c r="H46" i="31"/>
  <c r="J46" i="31" s="1"/>
  <c r="F46" i="31"/>
  <c r="AD45" i="31"/>
  <c r="AF45" i="31" s="1"/>
  <c r="AE45" i="31" s="1"/>
  <c r="AC45" i="31"/>
  <c r="Y45" i="31"/>
  <c r="Z45" i="31" s="1"/>
  <c r="W45" i="31"/>
  <c r="X45" i="31" s="1"/>
  <c r="V45" i="31"/>
  <c r="U45" i="31"/>
  <c r="Q45" i="31"/>
  <c r="R45" i="31" s="1"/>
  <c r="M45" i="31"/>
  <c r="N45" i="31" s="1"/>
  <c r="K45" i="31"/>
  <c r="H45" i="31"/>
  <c r="J45" i="31" s="1"/>
  <c r="F45" i="31"/>
  <c r="AC44" i="31"/>
  <c r="AD44" i="31" s="1"/>
  <c r="AF44" i="31" s="1"/>
  <c r="AE44" i="31" s="1"/>
  <c r="AB44" i="31"/>
  <c r="Y44" i="31"/>
  <c r="Z44" i="31" s="1"/>
  <c r="AA44" i="31" s="1"/>
  <c r="W44" i="31"/>
  <c r="X44" i="31" s="1"/>
  <c r="V44" i="31"/>
  <c r="U44" i="31"/>
  <c r="Q44" i="31"/>
  <c r="R44" i="31" s="1"/>
  <c r="M44" i="31"/>
  <c r="N44" i="31" s="1"/>
  <c r="K44" i="31"/>
  <c r="H44" i="31"/>
  <c r="J44" i="31" s="1"/>
  <c r="F44" i="31"/>
  <c r="AD43" i="31"/>
  <c r="AF43" i="31" s="1"/>
  <c r="AE43" i="31" s="1"/>
  <c r="AC43" i="31"/>
  <c r="AB43" i="31"/>
  <c r="Z43" i="31"/>
  <c r="AA43" i="31" s="1"/>
  <c r="Y43" i="31"/>
  <c r="V43" i="31"/>
  <c r="W43" i="31" s="1"/>
  <c r="X43" i="31" s="1"/>
  <c r="U43" i="31"/>
  <c r="R43" i="31"/>
  <c r="Q43" i="31"/>
  <c r="M43" i="31"/>
  <c r="N43" i="31" s="1"/>
  <c r="K43" i="31"/>
  <c r="H43" i="31"/>
  <c r="J43" i="31" s="1"/>
  <c r="F43" i="31"/>
  <c r="AC42" i="31"/>
  <c r="AD42" i="31" s="1"/>
  <c r="AF42" i="31" s="1"/>
  <c r="AE42" i="31" s="1"/>
  <c r="AB42" i="31"/>
  <c r="Z42" i="31"/>
  <c r="AA42" i="31" s="1"/>
  <c r="Y42" i="31"/>
  <c r="X42" i="31"/>
  <c r="W42" i="31"/>
  <c r="V42" i="31"/>
  <c r="U42" i="31"/>
  <c r="R42" i="31"/>
  <c r="Q42" i="31"/>
  <c r="O42" i="31"/>
  <c r="P42" i="31" s="1"/>
  <c r="N42" i="31"/>
  <c r="M42" i="31"/>
  <c r="H42" i="31"/>
  <c r="J42" i="31" s="1"/>
  <c r="F42" i="31"/>
  <c r="AD41" i="31"/>
  <c r="AF41" i="31" s="1"/>
  <c r="AE41" i="31" s="1"/>
  <c r="AC41" i="31"/>
  <c r="Y41" i="31"/>
  <c r="Z41" i="31" s="1"/>
  <c r="AA41" i="31" s="1"/>
  <c r="AB41" i="31" s="1"/>
  <c r="U41" i="31"/>
  <c r="V41" i="31" s="1"/>
  <c r="W41" i="31" s="1"/>
  <c r="X41" i="31" s="1"/>
  <c r="R41" i="31"/>
  <c r="Q41" i="31"/>
  <c r="N41" i="31"/>
  <c r="M41" i="31"/>
  <c r="K41" i="31"/>
  <c r="H41" i="31"/>
  <c r="J41" i="31" s="1"/>
  <c r="S41" i="31" s="1"/>
  <c r="T41" i="31" s="1"/>
  <c r="F41" i="31"/>
  <c r="AD40" i="31"/>
  <c r="AF40" i="31" s="1"/>
  <c r="AE40" i="31" s="1"/>
  <c r="AC40" i="31"/>
  <c r="Z40" i="31"/>
  <c r="AA40" i="31" s="1"/>
  <c r="AB40" i="31" s="1"/>
  <c r="Y40" i="31"/>
  <c r="U40" i="31"/>
  <c r="V40" i="31" s="1"/>
  <c r="W40" i="31" s="1"/>
  <c r="X40" i="31" s="1"/>
  <c r="Q40" i="31"/>
  <c r="R40" i="31" s="1"/>
  <c r="M40" i="31"/>
  <c r="N40" i="31" s="1"/>
  <c r="K40" i="31"/>
  <c r="H40" i="31"/>
  <c r="J40" i="31" s="1"/>
  <c r="F40" i="31"/>
  <c r="AF39" i="31"/>
  <c r="AE39" i="31" s="1"/>
  <c r="AD39" i="31"/>
  <c r="AC39" i="31"/>
  <c r="Z39" i="31"/>
  <c r="Y39" i="31"/>
  <c r="V39" i="31"/>
  <c r="U39" i="31"/>
  <c r="Q39" i="31"/>
  <c r="R39" i="31" s="1"/>
  <c r="N39" i="31"/>
  <c r="M39" i="31"/>
  <c r="H39" i="31"/>
  <c r="J39" i="31" s="1"/>
  <c r="W39" i="31" s="1"/>
  <c r="X39" i="31" s="1"/>
  <c r="F39" i="31"/>
  <c r="AD38" i="31"/>
  <c r="AC38" i="31"/>
  <c r="Y38" i="31"/>
  <c r="Z38" i="31" s="1"/>
  <c r="AA38" i="31" s="1"/>
  <c r="AB38" i="31" s="1"/>
  <c r="V38" i="31"/>
  <c r="W38" i="31" s="1"/>
  <c r="X38" i="31" s="1"/>
  <c r="U38" i="31"/>
  <c r="Q38" i="31"/>
  <c r="R38" i="31" s="1"/>
  <c r="N38" i="31"/>
  <c r="M38" i="31"/>
  <c r="H38" i="31"/>
  <c r="J38" i="31" s="1"/>
  <c r="F38" i="31"/>
  <c r="AD37" i="31"/>
  <c r="AC37" i="31"/>
  <c r="Y37" i="31"/>
  <c r="Z37" i="31" s="1"/>
  <c r="V37" i="31"/>
  <c r="W37" i="31" s="1"/>
  <c r="X37" i="31" s="1"/>
  <c r="U37" i="31"/>
  <c r="Q37" i="31"/>
  <c r="R37" i="31" s="1"/>
  <c r="N37" i="31"/>
  <c r="M37" i="31"/>
  <c r="H37" i="31"/>
  <c r="J37" i="31" s="1"/>
  <c r="F37" i="31"/>
  <c r="AD36" i="31"/>
  <c r="AC36" i="31"/>
  <c r="Y36" i="31"/>
  <c r="Z36" i="31" s="1"/>
  <c r="V36" i="31"/>
  <c r="U36" i="31"/>
  <c r="Q36" i="31"/>
  <c r="R36" i="31" s="1"/>
  <c r="N36" i="31"/>
  <c r="M36" i="31"/>
  <c r="H36" i="31"/>
  <c r="J36" i="31" s="1"/>
  <c r="F36" i="31"/>
  <c r="AD35" i="31"/>
  <c r="AC35" i="31"/>
  <c r="Y35" i="31"/>
  <c r="Z35" i="31" s="1"/>
  <c r="AA35" i="31" s="1"/>
  <c r="AB35" i="31" s="1"/>
  <c r="V35" i="31"/>
  <c r="W35" i="31" s="1"/>
  <c r="X35" i="31" s="1"/>
  <c r="U35" i="31"/>
  <c r="Q35" i="31"/>
  <c r="R35" i="31" s="1"/>
  <c r="N35" i="31"/>
  <c r="M35" i="31"/>
  <c r="H35" i="31"/>
  <c r="J35" i="31" s="1"/>
  <c r="F35" i="31"/>
  <c r="AD34" i="31"/>
  <c r="AC34" i="31"/>
  <c r="Y34" i="31"/>
  <c r="Z34" i="31" s="1"/>
  <c r="AA34" i="31" s="1"/>
  <c r="AB34" i="31" s="1"/>
  <c r="V34" i="31"/>
  <c r="W34" i="31" s="1"/>
  <c r="X34" i="31" s="1"/>
  <c r="U34" i="31"/>
  <c r="Q34" i="31"/>
  <c r="R34" i="31" s="1"/>
  <c r="N34" i="31"/>
  <c r="M34" i="31"/>
  <c r="H34" i="31"/>
  <c r="J34" i="31" s="1"/>
  <c r="F34" i="31"/>
  <c r="AD33" i="31"/>
  <c r="AC33" i="31"/>
  <c r="Y33" i="31"/>
  <c r="Z33" i="31" s="1"/>
  <c r="V33" i="31"/>
  <c r="W33" i="31" s="1"/>
  <c r="X33" i="31" s="1"/>
  <c r="U33" i="31"/>
  <c r="Q33" i="31"/>
  <c r="R33" i="31" s="1"/>
  <c r="N33" i="31"/>
  <c r="M33" i="31"/>
  <c r="H33" i="31"/>
  <c r="J33" i="31" s="1"/>
  <c r="F33" i="31"/>
  <c r="AD32" i="31"/>
  <c r="AC32" i="31"/>
  <c r="Y32" i="31"/>
  <c r="Z32" i="31" s="1"/>
  <c r="U32" i="31"/>
  <c r="V32" i="31" s="1"/>
  <c r="W32" i="31" s="1"/>
  <c r="X32" i="31" s="1"/>
  <c r="Q32" i="31"/>
  <c r="R32" i="31" s="1"/>
  <c r="M32" i="31"/>
  <c r="N32" i="31" s="1"/>
  <c r="H32" i="31"/>
  <c r="J32" i="31" s="1"/>
  <c r="F32" i="31"/>
  <c r="AC31" i="31"/>
  <c r="AD31" i="31" s="1"/>
  <c r="AF31" i="31" s="1"/>
  <c r="AE31" i="31" s="1"/>
  <c r="Y31" i="31"/>
  <c r="Z31" i="31" s="1"/>
  <c r="AA31" i="31" s="1"/>
  <c r="AB31" i="31" s="1"/>
  <c r="V31" i="31"/>
  <c r="W31" i="31" s="1"/>
  <c r="X31" i="31" s="1"/>
  <c r="U31" i="31"/>
  <c r="Q31" i="31"/>
  <c r="R31" i="31" s="1"/>
  <c r="M31" i="31"/>
  <c r="N31" i="31" s="1"/>
  <c r="H31" i="31"/>
  <c r="J31" i="31" s="1"/>
  <c r="F31" i="31"/>
  <c r="AC30" i="31"/>
  <c r="AD30" i="31" s="1"/>
  <c r="AF30" i="31" s="1"/>
  <c r="AE30" i="31" s="1"/>
  <c r="Y30" i="31"/>
  <c r="Z30" i="31" s="1"/>
  <c r="AA30" i="31" s="1"/>
  <c r="AB30" i="31" s="1"/>
  <c r="V30" i="31"/>
  <c r="W30" i="31" s="1"/>
  <c r="X30" i="31" s="1"/>
  <c r="U30" i="31"/>
  <c r="Q30" i="31"/>
  <c r="R30" i="31" s="1"/>
  <c r="M30" i="31"/>
  <c r="N30" i="31" s="1"/>
  <c r="H30" i="31"/>
  <c r="J30" i="31" s="1"/>
  <c r="F30" i="31"/>
  <c r="AC29" i="31"/>
  <c r="AD29" i="31" s="1"/>
  <c r="AF29" i="31" s="1"/>
  <c r="AE29" i="31" s="1"/>
  <c r="Y29" i="31"/>
  <c r="Z29" i="31" s="1"/>
  <c r="V29" i="31"/>
  <c r="W29" i="31" s="1"/>
  <c r="X29" i="31" s="1"/>
  <c r="U29" i="31"/>
  <c r="Q29" i="31"/>
  <c r="R29" i="31" s="1"/>
  <c r="M29" i="31"/>
  <c r="N29" i="31" s="1"/>
  <c r="H29" i="31"/>
  <c r="J29" i="31" s="1"/>
  <c r="F29" i="31"/>
  <c r="AC28" i="31"/>
  <c r="AD28" i="31" s="1"/>
  <c r="AF28" i="31" s="1"/>
  <c r="AE28" i="31" s="1"/>
  <c r="Y28" i="31"/>
  <c r="Z28" i="31" s="1"/>
  <c r="U28" i="31"/>
  <c r="V28" i="31" s="1"/>
  <c r="W28" i="31" s="1"/>
  <c r="X28" i="31" s="1"/>
  <c r="Q28" i="31"/>
  <c r="R28" i="31" s="1"/>
  <c r="M28" i="31"/>
  <c r="N28" i="31" s="1"/>
  <c r="H28" i="31"/>
  <c r="J28" i="31" s="1"/>
  <c r="F28" i="31"/>
  <c r="AC27" i="31"/>
  <c r="AD27" i="31" s="1"/>
  <c r="AF27" i="31" s="1"/>
  <c r="AE27" i="31" s="1"/>
  <c r="Y27" i="31"/>
  <c r="Z27" i="31" s="1"/>
  <c r="AA27" i="31" s="1"/>
  <c r="AB27" i="31" s="1"/>
  <c r="V27" i="31"/>
  <c r="W27" i="31" s="1"/>
  <c r="X27" i="31" s="1"/>
  <c r="U27" i="31"/>
  <c r="Q27" i="31"/>
  <c r="R27" i="31" s="1"/>
  <c r="M27" i="31"/>
  <c r="N27" i="31" s="1"/>
  <c r="H27" i="31"/>
  <c r="J27" i="31" s="1"/>
  <c r="F27" i="31"/>
  <c r="AC26" i="31"/>
  <c r="AD26" i="31" s="1"/>
  <c r="AF26" i="31" s="1"/>
  <c r="AE26" i="31" s="1"/>
  <c r="Y26" i="31"/>
  <c r="Z26" i="31" s="1"/>
  <c r="AA26" i="31" s="1"/>
  <c r="AB26" i="31" s="1"/>
  <c r="V26" i="31"/>
  <c r="W26" i="31" s="1"/>
  <c r="X26" i="31" s="1"/>
  <c r="U26" i="31"/>
  <c r="Q26" i="31"/>
  <c r="R26" i="31" s="1"/>
  <c r="M26" i="31"/>
  <c r="N26" i="31" s="1"/>
  <c r="H26" i="31"/>
  <c r="J26" i="31" s="1"/>
  <c r="F26" i="31"/>
  <c r="AC25" i="31"/>
  <c r="AD25" i="31" s="1"/>
  <c r="AF25" i="31" s="1"/>
  <c r="AE25" i="31" s="1"/>
  <c r="Y25" i="31"/>
  <c r="Z25" i="31" s="1"/>
  <c r="V25" i="31"/>
  <c r="W25" i="31" s="1"/>
  <c r="X25" i="31" s="1"/>
  <c r="U25" i="31"/>
  <c r="Q25" i="31"/>
  <c r="R25" i="31" s="1"/>
  <c r="M25" i="31"/>
  <c r="N25" i="31" s="1"/>
  <c r="H25" i="31"/>
  <c r="J25" i="31" s="1"/>
  <c r="F25" i="31"/>
  <c r="AC24" i="31"/>
  <c r="AD24" i="31" s="1"/>
  <c r="AF24" i="31" s="1"/>
  <c r="AE24" i="31" s="1"/>
  <c r="Y24" i="31"/>
  <c r="Z24" i="31" s="1"/>
  <c r="U24" i="31"/>
  <c r="V24" i="31" s="1"/>
  <c r="W24" i="31" s="1"/>
  <c r="X24" i="31" s="1"/>
  <c r="Q24" i="31"/>
  <c r="R24" i="31" s="1"/>
  <c r="M24" i="31"/>
  <c r="N24" i="31" s="1"/>
  <c r="H24" i="31"/>
  <c r="J24" i="31" s="1"/>
  <c r="F24" i="31"/>
  <c r="AC23" i="31"/>
  <c r="AD23" i="31" s="1"/>
  <c r="AF23" i="31" s="1"/>
  <c r="AE23" i="31" s="1"/>
  <c r="Y23" i="31"/>
  <c r="Z23" i="31" s="1"/>
  <c r="AA23" i="31" s="1"/>
  <c r="AB23" i="31" s="1"/>
  <c r="V23" i="31"/>
  <c r="W23" i="31" s="1"/>
  <c r="X23" i="31" s="1"/>
  <c r="U23" i="31"/>
  <c r="Q23" i="31"/>
  <c r="R23" i="31" s="1"/>
  <c r="M23" i="31"/>
  <c r="N23" i="31" s="1"/>
  <c r="H23" i="31"/>
  <c r="J23" i="31" s="1"/>
  <c r="F23" i="31"/>
  <c r="AC22" i="31"/>
  <c r="AD22" i="31" s="1"/>
  <c r="AF22" i="31" s="1"/>
  <c r="AE22" i="31" s="1"/>
  <c r="Y22" i="31"/>
  <c r="Z22" i="31" s="1"/>
  <c r="AA22" i="31" s="1"/>
  <c r="AB22" i="31" s="1"/>
  <c r="V22" i="31"/>
  <c r="W22" i="31" s="1"/>
  <c r="X22" i="31" s="1"/>
  <c r="U22" i="31"/>
  <c r="Q22" i="31"/>
  <c r="R22" i="31" s="1"/>
  <c r="M22" i="31"/>
  <c r="N22" i="31" s="1"/>
  <c r="H22" i="31"/>
  <c r="J22" i="31" s="1"/>
  <c r="F22" i="31"/>
  <c r="AC21" i="31"/>
  <c r="AD21" i="31" s="1"/>
  <c r="AF21" i="31" s="1"/>
  <c r="AE21" i="31" s="1"/>
  <c r="Y21" i="31"/>
  <c r="Z21" i="31" s="1"/>
  <c r="V21" i="31"/>
  <c r="W21" i="31" s="1"/>
  <c r="X21" i="31" s="1"/>
  <c r="U21" i="31"/>
  <c r="Q21" i="31"/>
  <c r="R21" i="31" s="1"/>
  <c r="M21" i="31"/>
  <c r="N21" i="31" s="1"/>
  <c r="H21" i="31"/>
  <c r="J21" i="31" s="1"/>
  <c r="F21" i="31"/>
  <c r="AC20" i="31"/>
  <c r="AD20" i="31" s="1"/>
  <c r="AF20" i="31" s="1"/>
  <c r="AE20" i="31" s="1"/>
  <c r="Y20" i="31"/>
  <c r="Z20" i="31" s="1"/>
  <c r="U20" i="31"/>
  <c r="V20" i="31" s="1"/>
  <c r="W20" i="31" s="1"/>
  <c r="X20" i="31" s="1"/>
  <c r="Q20" i="31"/>
  <c r="R20" i="31" s="1"/>
  <c r="M20" i="31"/>
  <c r="N20" i="31" s="1"/>
  <c r="H20" i="31"/>
  <c r="J20" i="31" s="1"/>
  <c r="F20" i="31"/>
  <c r="AD19" i="31"/>
  <c r="AC19" i="31"/>
  <c r="Y19" i="31"/>
  <c r="Z19" i="31" s="1"/>
  <c r="AA19" i="31" s="1"/>
  <c r="AB19" i="31" s="1"/>
  <c r="V19" i="31"/>
  <c r="W19" i="31" s="1"/>
  <c r="X19" i="31" s="1"/>
  <c r="U19" i="31"/>
  <c r="Q19" i="31"/>
  <c r="R19" i="31" s="1"/>
  <c r="M19" i="31"/>
  <c r="N19" i="31" s="1"/>
  <c r="H19" i="31"/>
  <c r="J19" i="31" s="1"/>
  <c r="F19" i="31"/>
  <c r="AC18" i="31"/>
  <c r="AD18" i="31" s="1"/>
  <c r="AF18" i="31" s="1"/>
  <c r="AE18" i="31" s="1"/>
  <c r="Y18" i="31"/>
  <c r="Z18" i="31" s="1"/>
  <c r="AA18" i="31" s="1"/>
  <c r="AB18" i="31" s="1"/>
  <c r="V18" i="31"/>
  <c r="W18" i="31" s="1"/>
  <c r="X18" i="31" s="1"/>
  <c r="U18" i="31"/>
  <c r="Q18" i="31"/>
  <c r="R18" i="31" s="1"/>
  <c r="N18" i="31"/>
  <c r="M18" i="31"/>
  <c r="H18" i="31"/>
  <c r="J18" i="31" s="1"/>
  <c r="F18" i="31"/>
  <c r="AC17" i="31"/>
  <c r="AD17" i="31" s="1"/>
  <c r="AF17" i="31" s="1"/>
  <c r="AE17" i="31" s="1"/>
  <c r="Y17" i="31"/>
  <c r="Z17" i="31" s="1"/>
  <c r="V17" i="31"/>
  <c r="W17" i="31" s="1"/>
  <c r="X17" i="31" s="1"/>
  <c r="U17" i="31"/>
  <c r="Q17" i="31"/>
  <c r="R17" i="31" s="1"/>
  <c r="M17" i="31"/>
  <c r="N17" i="31" s="1"/>
  <c r="H17" i="31"/>
  <c r="J17" i="31" s="1"/>
  <c r="F17" i="31"/>
  <c r="AC16" i="31"/>
  <c r="AD16" i="31" s="1"/>
  <c r="AF16" i="31" s="1"/>
  <c r="AE16" i="31" s="1"/>
  <c r="Y16" i="31"/>
  <c r="Z16" i="31" s="1"/>
  <c r="U16" i="31"/>
  <c r="V16" i="31" s="1"/>
  <c r="W16" i="31" s="1"/>
  <c r="X16" i="31" s="1"/>
  <c r="Q16" i="31"/>
  <c r="R16" i="31" s="1"/>
  <c r="M16" i="31"/>
  <c r="N16" i="31" s="1"/>
  <c r="H16" i="31"/>
  <c r="J16" i="31" s="1"/>
  <c r="F16" i="31"/>
  <c r="AC15" i="31"/>
  <c r="AD15" i="31" s="1"/>
  <c r="AF15" i="31" s="1"/>
  <c r="AE15" i="31" s="1"/>
  <c r="Y15" i="31"/>
  <c r="Z15" i="31" s="1"/>
  <c r="AA15" i="31" s="1"/>
  <c r="AB15" i="31" s="1"/>
  <c r="V15" i="31"/>
  <c r="W15" i="31" s="1"/>
  <c r="X15" i="31" s="1"/>
  <c r="U15" i="31"/>
  <c r="Q15" i="31"/>
  <c r="R15" i="31" s="1"/>
  <c r="M15" i="31"/>
  <c r="N15" i="31" s="1"/>
  <c r="H15" i="31"/>
  <c r="J15" i="31" s="1"/>
  <c r="F15" i="31"/>
  <c r="AC14" i="31"/>
  <c r="AD14" i="31" s="1"/>
  <c r="AF14" i="31" s="1"/>
  <c r="AE14" i="31" s="1"/>
  <c r="Y14" i="31"/>
  <c r="Z14" i="31" s="1"/>
  <c r="U14" i="31"/>
  <c r="V14" i="31" s="1"/>
  <c r="W14" i="31" s="1"/>
  <c r="X14" i="31" s="1"/>
  <c r="Q14" i="31"/>
  <c r="R14" i="31" s="1"/>
  <c r="M14" i="31"/>
  <c r="N14" i="31" s="1"/>
  <c r="H14" i="31"/>
  <c r="J14" i="31" s="1"/>
  <c r="F14" i="31"/>
  <c r="AD13" i="31"/>
  <c r="AF13" i="31" s="1"/>
  <c r="AE13" i="31" s="1"/>
  <c r="AC13" i="31"/>
  <c r="Y13" i="31"/>
  <c r="Z13" i="31" s="1"/>
  <c r="AA13" i="31" s="1"/>
  <c r="AB13" i="31" s="1"/>
  <c r="V13" i="31"/>
  <c r="W13" i="31" s="1"/>
  <c r="X13" i="31" s="1"/>
  <c r="U13" i="31"/>
  <c r="Q13" i="31"/>
  <c r="R13" i="31" s="1"/>
  <c r="N13" i="31"/>
  <c r="M13" i="31"/>
  <c r="H13" i="31"/>
  <c r="J13" i="31" s="1"/>
  <c r="F13" i="31"/>
  <c r="AF12" i="31"/>
  <c r="AE12" i="31" s="1"/>
  <c r="AD12" i="31"/>
  <c r="AC12" i="31"/>
  <c r="Y12" i="31"/>
  <c r="Z12" i="31" s="1"/>
  <c r="U12" i="31"/>
  <c r="V12" i="31" s="1"/>
  <c r="W12" i="31" s="1"/>
  <c r="X12" i="31" s="1"/>
  <c r="Q12" i="31"/>
  <c r="R12" i="31" s="1"/>
  <c r="N12" i="31"/>
  <c r="M12" i="31"/>
  <c r="H12" i="31"/>
  <c r="J12" i="31" s="1"/>
  <c r="F12" i="31"/>
  <c r="AD11" i="31"/>
  <c r="AF11" i="31" s="1"/>
  <c r="AE11" i="31" s="1"/>
  <c r="AC11" i="31"/>
  <c r="Y11" i="31"/>
  <c r="Z11" i="31" s="1"/>
  <c r="AA11" i="31" s="1"/>
  <c r="AB11" i="31" s="1"/>
  <c r="U11" i="31"/>
  <c r="V11" i="31" s="1"/>
  <c r="W11" i="31" s="1"/>
  <c r="X11" i="31" s="1"/>
  <c r="Q11" i="31"/>
  <c r="R11" i="31" s="1"/>
  <c r="O11" i="31"/>
  <c r="P11" i="31" s="1"/>
  <c r="M11" i="31"/>
  <c r="N11" i="31" s="1"/>
  <c r="H11" i="31"/>
  <c r="J11" i="31" s="1"/>
  <c r="F11" i="31"/>
  <c r="AC10" i="31"/>
  <c r="AD10" i="31" s="1"/>
  <c r="AF10" i="31" s="1"/>
  <c r="AE10" i="31" s="1"/>
  <c r="Y10" i="31"/>
  <c r="Z10" i="31" s="1"/>
  <c r="AA10" i="31" s="1"/>
  <c r="AB10" i="31" s="1"/>
  <c r="U10" i="31"/>
  <c r="V10" i="31" s="1"/>
  <c r="W10" i="31" s="1"/>
  <c r="X10" i="31" s="1"/>
  <c r="R10" i="31"/>
  <c r="Q10" i="31"/>
  <c r="P10" i="31"/>
  <c r="O10" i="31"/>
  <c r="N10" i="31"/>
  <c r="M10" i="31"/>
  <c r="H10" i="31"/>
  <c r="J10" i="31" s="1"/>
  <c r="F10" i="31"/>
  <c r="AD9" i="31"/>
  <c r="AF9" i="31" s="1"/>
  <c r="AE9" i="31" s="1"/>
  <c r="AC9" i="31"/>
  <c r="Z9" i="31"/>
  <c r="AA9" i="31" s="1"/>
  <c r="AB9" i="31" s="1"/>
  <c r="Y9" i="31"/>
  <c r="V9" i="31"/>
  <c r="W9" i="31" s="1"/>
  <c r="X9" i="31" s="1"/>
  <c r="U9" i="31"/>
  <c r="R9" i="31"/>
  <c r="Q9" i="31"/>
  <c r="P9" i="31"/>
  <c r="O9" i="31"/>
  <c r="M9" i="31"/>
  <c r="N9" i="31" s="1"/>
  <c r="H9" i="31"/>
  <c r="J9" i="31" s="1"/>
  <c r="F9" i="31"/>
  <c r="AD8" i="31"/>
  <c r="AF8" i="31" s="1"/>
  <c r="AE8" i="31" s="1"/>
  <c r="AC8" i="31"/>
  <c r="Y8" i="31"/>
  <c r="Z8" i="31" s="1"/>
  <c r="AA8" i="31" s="1"/>
  <c r="AB8" i="31" s="1"/>
  <c r="V8" i="31"/>
  <c r="W8" i="31" s="1"/>
  <c r="X8" i="31" s="1"/>
  <c r="U8" i="31"/>
  <c r="R8" i="31"/>
  <c r="Q8" i="31"/>
  <c r="O8" i="31"/>
  <c r="P8" i="31" s="1"/>
  <c r="N8" i="31"/>
  <c r="M8" i="31"/>
  <c r="H8" i="31"/>
  <c r="J8" i="31" s="1"/>
  <c r="F8" i="31"/>
  <c r="AC7" i="31"/>
  <c r="AD7" i="31" s="1"/>
  <c r="AF7" i="31" s="1"/>
  <c r="AE7" i="31" s="1"/>
  <c r="Z7" i="31"/>
  <c r="Y7" i="31"/>
  <c r="V7" i="31"/>
  <c r="W7" i="31" s="1"/>
  <c r="X7" i="31" s="1"/>
  <c r="U7" i="31"/>
  <c r="Q7" i="31"/>
  <c r="R7" i="31" s="1"/>
  <c r="P7" i="31"/>
  <c r="O7" i="31"/>
  <c r="N7" i="31"/>
  <c r="M7" i="31"/>
  <c r="H7" i="31"/>
  <c r="J7" i="31" s="1"/>
  <c r="F7" i="31"/>
  <c r="AD6" i="31"/>
  <c r="AF6" i="31" s="1"/>
  <c r="AE6" i="31" s="1"/>
  <c r="AC6" i="31"/>
  <c r="Z6" i="31"/>
  <c r="AA6" i="31" s="1"/>
  <c r="AB6" i="31" s="1"/>
  <c r="Y6" i="31"/>
  <c r="U6" i="31"/>
  <c r="V6" i="31" s="1"/>
  <c r="W6" i="31" s="1"/>
  <c r="X6" i="31" s="1"/>
  <c r="R6" i="31"/>
  <c r="Q6" i="31"/>
  <c r="P6" i="31"/>
  <c r="O6" i="31"/>
  <c r="N6" i="31"/>
  <c r="M6" i="31"/>
  <c r="H6" i="31"/>
  <c r="J6" i="31" s="1"/>
  <c r="O64" i="31" s="1"/>
  <c r="P64" i="31" s="1"/>
  <c r="F6" i="31"/>
  <c r="K16" i="31" l="1"/>
  <c r="S16" i="31"/>
  <c r="T16" i="31" s="1"/>
  <c r="AA17" i="31"/>
  <c r="AB17" i="31" s="1"/>
  <c r="K20" i="31"/>
  <c r="S20" i="31"/>
  <c r="T20" i="31" s="1"/>
  <c r="AA21" i="31"/>
  <c r="AB21" i="31" s="1"/>
  <c r="K24" i="31"/>
  <c r="S24" i="31"/>
  <c r="T24" i="31" s="1"/>
  <c r="AA25" i="31"/>
  <c r="AB25" i="31" s="1"/>
  <c r="K28" i="31"/>
  <c r="S28" i="31"/>
  <c r="T28" i="31" s="1"/>
  <c r="AA29" i="31"/>
  <c r="AB29" i="31" s="1"/>
  <c r="K32" i="31"/>
  <c r="S32" i="31"/>
  <c r="T32" i="31" s="1"/>
  <c r="AF32" i="31"/>
  <c r="AE32" i="31" s="1"/>
  <c r="AA33" i="31"/>
  <c r="AB33" i="31" s="1"/>
  <c r="K36" i="31"/>
  <c r="S36" i="31"/>
  <c r="T36" i="31" s="1"/>
  <c r="AF36" i="31"/>
  <c r="AE36" i="31" s="1"/>
  <c r="AA37" i="31"/>
  <c r="AB37" i="31" s="1"/>
  <c r="K7" i="31"/>
  <c r="S7" i="31"/>
  <c r="T7" i="31" s="1"/>
  <c r="K17" i="31"/>
  <c r="S17" i="31"/>
  <c r="T17" i="31" s="1"/>
  <c r="K21" i="31"/>
  <c r="S21" i="31"/>
  <c r="T21" i="31" s="1"/>
  <c r="K25" i="31"/>
  <c r="S25" i="31"/>
  <c r="T25" i="31" s="1"/>
  <c r="K29" i="31"/>
  <c r="S29" i="31"/>
  <c r="T29" i="31" s="1"/>
  <c r="K33" i="31"/>
  <c r="S33" i="31"/>
  <c r="T33" i="31" s="1"/>
  <c r="AF33" i="31"/>
  <c r="AE33" i="31" s="1"/>
  <c r="K37" i="31"/>
  <c r="S37" i="31"/>
  <c r="T37" i="31" s="1"/>
  <c r="AF37" i="31"/>
  <c r="AE37" i="31" s="1"/>
  <c r="AA7" i="31"/>
  <c r="AB7" i="31" s="1"/>
  <c r="K15" i="31"/>
  <c r="S15" i="31"/>
  <c r="T15" i="31" s="1"/>
  <c r="K91" i="31"/>
  <c r="S91" i="31"/>
  <c r="T91" i="31" s="1"/>
  <c r="K92" i="31"/>
  <c r="W92" i="31"/>
  <c r="X92" i="31" s="1"/>
  <c r="S92" i="31"/>
  <c r="T92" i="31" s="1"/>
  <c r="AF92" i="31"/>
  <c r="AE92" i="31" s="1"/>
  <c r="K12" i="31"/>
  <c r="S12" i="31"/>
  <c r="T12" i="31" s="1"/>
  <c r="AA12" i="31"/>
  <c r="AB12" i="31" s="1"/>
  <c r="K18" i="31"/>
  <c r="S18" i="31"/>
  <c r="T18" i="31" s="1"/>
  <c r="K22" i="31"/>
  <c r="S22" i="31"/>
  <c r="T22" i="31" s="1"/>
  <c r="K26" i="31"/>
  <c r="S26" i="31"/>
  <c r="T26" i="31" s="1"/>
  <c r="K30" i="31"/>
  <c r="S30" i="31"/>
  <c r="T30" i="31" s="1"/>
  <c r="K34" i="31"/>
  <c r="S34" i="31"/>
  <c r="T34" i="31" s="1"/>
  <c r="AF34" i="31"/>
  <c r="AE34" i="31" s="1"/>
  <c r="K38" i="31"/>
  <c r="S38" i="31"/>
  <c r="T38" i="31" s="1"/>
  <c r="AF38" i="31"/>
  <c r="AE38" i="31" s="1"/>
  <c r="O187" i="31"/>
  <c r="P187" i="31" s="1"/>
  <c r="O186" i="31"/>
  <c r="P186" i="31" s="1"/>
  <c r="O185" i="31"/>
  <c r="P185" i="31" s="1"/>
  <c r="O184" i="31"/>
  <c r="P184" i="31" s="1"/>
  <c r="O183" i="31"/>
  <c r="P183" i="31" s="1"/>
  <c r="O182" i="31"/>
  <c r="P182" i="31" s="1"/>
  <c r="O181" i="31"/>
  <c r="P181" i="31" s="1"/>
  <c r="O180" i="31"/>
  <c r="P180" i="31" s="1"/>
  <c r="O179" i="31"/>
  <c r="P179" i="31" s="1"/>
  <c r="O178" i="31"/>
  <c r="P178" i="31" s="1"/>
  <c r="O177" i="31"/>
  <c r="P177" i="31" s="1"/>
  <c r="O176" i="31"/>
  <c r="P176" i="31" s="1"/>
  <c r="O175" i="31"/>
  <c r="P175" i="31" s="1"/>
  <c r="O174" i="31"/>
  <c r="P174" i="31" s="1"/>
  <c r="O173" i="31"/>
  <c r="P173" i="31" s="1"/>
  <c r="O172" i="31"/>
  <c r="P172" i="31" s="1"/>
  <c r="O171" i="31"/>
  <c r="P171" i="31" s="1"/>
  <c r="O170" i="31"/>
  <c r="P170" i="31" s="1"/>
  <c r="O169" i="31"/>
  <c r="P169" i="31" s="1"/>
  <c r="O168" i="31"/>
  <c r="P168" i="31" s="1"/>
  <c r="O167" i="31"/>
  <c r="P167" i="31" s="1"/>
  <c r="O166" i="31"/>
  <c r="P166" i="31" s="1"/>
  <c r="O165" i="31"/>
  <c r="P165" i="31" s="1"/>
  <c r="O164" i="31"/>
  <c r="P164" i="31" s="1"/>
  <c r="O163" i="31"/>
  <c r="P163" i="31" s="1"/>
  <c r="O162" i="31"/>
  <c r="P162" i="31" s="1"/>
  <c r="O161" i="31"/>
  <c r="P161" i="31" s="1"/>
  <c r="O160" i="31"/>
  <c r="P160" i="31" s="1"/>
  <c r="O159" i="31"/>
  <c r="P159" i="31" s="1"/>
  <c r="O158" i="31"/>
  <c r="P158" i="31" s="1"/>
  <c r="O157" i="31"/>
  <c r="P157" i="31" s="1"/>
  <c r="O156" i="31"/>
  <c r="P156" i="31" s="1"/>
  <c r="O155" i="31"/>
  <c r="P155" i="31" s="1"/>
  <c r="O154" i="31"/>
  <c r="P154" i="31" s="1"/>
  <c r="O153" i="31"/>
  <c r="P153" i="31" s="1"/>
  <c r="O152" i="31"/>
  <c r="P152" i="31" s="1"/>
  <c r="O151" i="31"/>
  <c r="P151" i="31" s="1"/>
  <c r="O150" i="31"/>
  <c r="P150" i="31" s="1"/>
  <c r="O149" i="31"/>
  <c r="P149" i="31" s="1"/>
  <c r="O148" i="31"/>
  <c r="P148" i="31" s="1"/>
  <c r="O147" i="31"/>
  <c r="P147" i="31" s="1"/>
  <c r="O146" i="31"/>
  <c r="P146" i="31" s="1"/>
  <c r="O145" i="31"/>
  <c r="P145" i="31" s="1"/>
  <c r="O144" i="31"/>
  <c r="P144" i="31" s="1"/>
  <c r="O142" i="31"/>
  <c r="P142" i="31" s="1"/>
  <c r="O141" i="31"/>
  <c r="P141" i="31" s="1"/>
  <c r="O140" i="31"/>
  <c r="P140" i="31" s="1"/>
  <c r="O139" i="31"/>
  <c r="P139" i="31" s="1"/>
  <c r="O138" i="31"/>
  <c r="P138" i="31" s="1"/>
  <c r="O137" i="31"/>
  <c r="P137" i="31" s="1"/>
  <c r="O136" i="31"/>
  <c r="P136" i="31" s="1"/>
  <c r="O135" i="31"/>
  <c r="P135" i="31" s="1"/>
  <c r="O134" i="31"/>
  <c r="P134" i="31" s="1"/>
  <c r="O133" i="31"/>
  <c r="P133" i="31" s="1"/>
  <c r="O132" i="31"/>
  <c r="P132" i="31" s="1"/>
  <c r="O131" i="31"/>
  <c r="P131" i="31" s="1"/>
  <c r="O130" i="31"/>
  <c r="P130" i="31" s="1"/>
  <c r="O129" i="31"/>
  <c r="P129" i="31" s="1"/>
  <c r="O128" i="31"/>
  <c r="P128" i="31" s="1"/>
  <c r="O127" i="31"/>
  <c r="P127" i="31" s="1"/>
  <c r="O126" i="31"/>
  <c r="P126" i="31" s="1"/>
  <c r="O125" i="31"/>
  <c r="P125" i="31" s="1"/>
  <c r="O124" i="31"/>
  <c r="P124" i="31" s="1"/>
  <c r="O123" i="31"/>
  <c r="P123" i="31" s="1"/>
  <c r="O122" i="31"/>
  <c r="P122" i="31" s="1"/>
  <c r="O120" i="31"/>
  <c r="P120" i="31" s="1"/>
  <c r="O117" i="31"/>
  <c r="P117" i="31" s="1"/>
  <c r="O143" i="31"/>
  <c r="P143" i="31" s="1"/>
  <c r="O119" i="31"/>
  <c r="P119" i="31" s="1"/>
  <c r="O116" i="31"/>
  <c r="P116" i="31" s="1"/>
  <c r="O121" i="31"/>
  <c r="P121" i="31" s="1"/>
  <c r="O112" i="31"/>
  <c r="P112" i="31" s="1"/>
  <c r="O104" i="31"/>
  <c r="P104" i="31" s="1"/>
  <c r="O113" i="31"/>
  <c r="P113" i="31" s="1"/>
  <c r="O105" i="31"/>
  <c r="P105" i="31" s="1"/>
  <c r="O91" i="31"/>
  <c r="P91" i="31" s="1"/>
  <c r="O88" i="31"/>
  <c r="P88" i="31" s="1"/>
  <c r="O87" i="31"/>
  <c r="P87" i="31" s="1"/>
  <c r="O86" i="31"/>
  <c r="P86" i="31" s="1"/>
  <c r="O85" i="31"/>
  <c r="P85" i="31" s="1"/>
  <c r="O84" i="31"/>
  <c r="P84" i="31" s="1"/>
  <c r="O83" i="31"/>
  <c r="P83" i="31" s="1"/>
  <c r="O82" i="31"/>
  <c r="P82" i="31" s="1"/>
  <c r="O81" i="31"/>
  <c r="P81" i="31" s="1"/>
  <c r="O80" i="31"/>
  <c r="P80" i="31" s="1"/>
  <c r="O79" i="31"/>
  <c r="P79" i="31" s="1"/>
  <c r="O78" i="31"/>
  <c r="P78" i="31" s="1"/>
  <c r="O77" i="31"/>
  <c r="P77" i="31" s="1"/>
  <c r="O76" i="31"/>
  <c r="P76" i="31" s="1"/>
  <c r="O75" i="31"/>
  <c r="P75" i="31" s="1"/>
  <c r="O74" i="31"/>
  <c r="P74" i="31" s="1"/>
  <c r="O73" i="31"/>
  <c r="P73" i="31" s="1"/>
  <c r="O72" i="31"/>
  <c r="P72" i="31" s="1"/>
  <c r="O71" i="31"/>
  <c r="P71" i="31" s="1"/>
  <c r="O70" i="31"/>
  <c r="P70" i="31" s="1"/>
  <c r="O114" i="31"/>
  <c r="P114" i="31" s="1"/>
  <c r="O106" i="31"/>
  <c r="P106" i="31" s="1"/>
  <c r="O98" i="31"/>
  <c r="P98" i="31" s="1"/>
  <c r="O94" i="31"/>
  <c r="P94" i="31" s="1"/>
  <c r="O115" i="31"/>
  <c r="P115" i="31" s="1"/>
  <c r="O107" i="31"/>
  <c r="P107" i="31" s="1"/>
  <c r="O99" i="31"/>
  <c r="P99" i="31" s="1"/>
  <c r="O97" i="31"/>
  <c r="P97" i="31" s="1"/>
  <c r="O89" i="31"/>
  <c r="P89" i="31" s="1"/>
  <c r="O108" i="31"/>
  <c r="P108" i="31" s="1"/>
  <c r="O100" i="31"/>
  <c r="P100" i="31" s="1"/>
  <c r="O92" i="31"/>
  <c r="P92" i="31" s="1"/>
  <c r="O109" i="31"/>
  <c r="P109" i="31" s="1"/>
  <c r="O101" i="31"/>
  <c r="P101" i="31" s="1"/>
  <c r="O96" i="31"/>
  <c r="P96" i="31" s="1"/>
  <c r="O118" i="31"/>
  <c r="P118" i="31" s="1"/>
  <c r="O110" i="31"/>
  <c r="P110" i="31" s="1"/>
  <c r="O102" i="31"/>
  <c r="P102" i="31" s="1"/>
  <c r="O90" i="31"/>
  <c r="P90" i="31" s="1"/>
  <c r="O103" i="31"/>
  <c r="P103" i="31" s="1"/>
  <c r="O93" i="31"/>
  <c r="P93" i="31" s="1"/>
  <c r="O95" i="31"/>
  <c r="P95" i="31" s="1"/>
  <c r="O69" i="31"/>
  <c r="P69" i="31" s="1"/>
  <c r="O63" i="31"/>
  <c r="P63" i="31" s="1"/>
  <c r="O55" i="31"/>
  <c r="P55" i="31" s="1"/>
  <c r="O62" i="31"/>
  <c r="P62" i="31" s="1"/>
  <c r="O54" i="31"/>
  <c r="P54" i="31" s="1"/>
  <c r="O40" i="31"/>
  <c r="P40" i="31" s="1"/>
  <c r="K6" i="31"/>
  <c r="O61" i="31"/>
  <c r="P61" i="31" s="1"/>
  <c r="O53" i="31"/>
  <c r="P53" i="31" s="1"/>
  <c r="O45" i="31"/>
  <c r="P45" i="31" s="1"/>
  <c r="O43" i="31"/>
  <c r="P43" i="31" s="1"/>
  <c r="S6" i="31"/>
  <c r="T6" i="31" s="1"/>
  <c r="O68" i="31"/>
  <c r="P68" i="31" s="1"/>
  <c r="O60" i="31"/>
  <c r="P60" i="31" s="1"/>
  <c r="O52" i="31"/>
  <c r="P52" i="31" s="1"/>
  <c r="O47" i="31"/>
  <c r="P47" i="31" s="1"/>
  <c r="O67" i="31"/>
  <c r="P67" i="31" s="1"/>
  <c r="O59" i="31"/>
  <c r="P59" i="31" s="1"/>
  <c r="O51" i="31"/>
  <c r="P51" i="31" s="1"/>
  <c r="O41" i="31"/>
  <c r="P41" i="31" s="1"/>
  <c r="O111" i="31"/>
  <c r="P111" i="31" s="1"/>
  <c r="O66" i="31"/>
  <c r="P66" i="31" s="1"/>
  <c r="O58" i="31"/>
  <c r="P58" i="31" s="1"/>
  <c r="O50" i="31"/>
  <c r="P50" i="31" s="1"/>
  <c r="O44" i="31"/>
  <c r="P44" i="31" s="1"/>
  <c r="O65" i="31"/>
  <c r="P65" i="31" s="1"/>
  <c r="O57" i="31"/>
  <c r="P57" i="31" s="1"/>
  <c r="O49" i="31"/>
  <c r="P49" i="31" s="1"/>
  <c r="O39" i="31"/>
  <c r="P39" i="31" s="1"/>
  <c r="O38" i="31"/>
  <c r="P38" i="31" s="1"/>
  <c r="O37" i="31"/>
  <c r="P37" i="31" s="1"/>
  <c r="O36" i="31"/>
  <c r="P36" i="31" s="1"/>
  <c r="O35" i="31"/>
  <c r="P35" i="31" s="1"/>
  <c r="O34" i="31"/>
  <c r="P34" i="31" s="1"/>
  <c r="O33" i="31"/>
  <c r="P33" i="31" s="1"/>
  <c r="O32" i="31"/>
  <c r="P32" i="31" s="1"/>
  <c r="O31" i="31"/>
  <c r="P31" i="31" s="1"/>
  <c r="O30" i="31"/>
  <c r="P30" i="31" s="1"/>
  <c r="O29" i="31"/>
  <c r="P29" i="31" s="1"/>
  <c r="O28" i="31"/>
  <c r="P28" i="31" s="1"/>
  <c r="O27" i="31"/>
  <c r="P27" i="31" s="1"/>
  <c r="O26" i="31"/>
  <c r="P26" i="31" s="1"/>
  <c r="O25" i="31"/>
  <c r="P25" i="31" s="1"/>
  <c r="O24" i="31"/>
  <c r="P24" i="31" s="1"/>
  <c r="O23" i="31"/>
  <c r="P23" i="31" s="1"/>
  <c r="O22" i="31"/>
  <c r="P22" i="31" s="1"/>
  <c r="O21" i="31"/>
  <c r="P21" i="31" s="1"/>
  <c r="O20" i="31"/>
  <c r="P20" i="31" s="1"/>
  <c r="O19" i="31"/>
  <c r="P19" i="31" s="1"/>
  <c r="O18" i="31"/>
  <c r="P18" i="31" s="1"/>
  <c r="O17" i="31"/>
  <c r="P17" i="31" s="1"/>
  <c r="O16" i="31"/>
  <c r="P16" i="31" s="1"/>
  <c r="O15" i="31"/>
  <c r="P15" i="31" s="1"/>
  <c r="O14" i="31"/>
  <c r="P14" i="31" s="1"/>
  <c r="O13" i="31"/>
  <c r="P13" i="31" s="1"/>
  <c r="O12" i="31"/>
  <c r="P12" i="31" s="1"/>
  <c r="K10" i="31"/>
  <c r="S10" i="31"/>
  <c r="T10" i="31" s="1"/>
  <c r="W36" i="31"/>
  <c r="X36" i="31" s="1"/>
  <c r="O56" i="31"/>
  <c r="P56" i="31" s="1"/>
  <c r="K8" i="31"/>
  <c r="S8" i="31"/>
  <c r="T8" i="31" s="1"/>
  <c r="K13" i="31"/>
  <c r="S13" i="31"/>
  <c r="T13" i="31" s="1"/>
  <c r="K9" i="31"/>
  <c r="S9" i="31"/>
  <c r="T9" i="31" s="1"/>
  <c r="K11" i="31"/>
  <c r="S11" i="31"/>
  <c r="T11" i="31" s="1"/>
  <c r="K14" i="31"/>
  <c r="S14" i="31"/>
  <c r="T14" i="31" s="1"/>
  <c r="AA14" i="31"/>
  <c r="AB14" i="31" s="1"/>
  <c r="AA16" i="31"/>
  <c r="AB16" i="31" s="1"/>
  <c r="K19" i="31"/>
  <c r="S19" i="31"/>
  <c r="T19" i="31" s="1"/>
  <c r="AF19" i="31"/>
  <c r="AE19" i="31" s="1"/>
  <c r="AA20" i="31"/>
  <c r="AB20" i="31" s="1"/>
  <c r="K23" i="31"/>
  <c r="S23" i="31"/>
  <c r="T23" i="31" s="1"/>
  <c r="AA24" i="31"/>
  <c r="AB24" i="31" s="1"/>
  <c r="K27" i="31"/>
  <c r="S27" i="31"/>
  <c r="T27" i="31" s="1"/>
  <c r="AA28" i="31"/>
  <c r="AB28" i="31" s="1"/>
  <c r="K31" i="31"/>
  <c r="S31" i="31"/>
  <c r="T31" i="31" s="1"/>
  <c r="AA32" i="31"/>
  <c r="AB32" i="31" s="1"/>
  <c r="K35" i="31"/>
  <c r="S35" i="31"/>
  <c r="T35" i="31" s="1"/>
  <c r="AF35" i="31"/>
  <c r="AE35" i="31" s="1"/>
  <c r="AA36" i="31"/>
  <c r="AB36" i="31" s="1"/>
  <c r="S39" i="31"/>
  <c r="T39" i="31" s="1"/>
  <c r="K39" i="31"/>
  <c r="O46" i="31"/>
  <c r="P46" i="31" s="1"/>
  <c r="O48" i="31"/>
  <c r="P48" i="31" s="1"/>
  <c r="AA72" i="31"/>
  <c r="AB72" i="31" s="1"/>
  <c r="K72" i="31"/>
  <c r="S72" i="31"/>
  <c r="T72" i="31" s="1"/>
  <c r="S43" i="31"/>
  <c r="T43" i="31" s="1"/>
  <c r="S45" i="31"/>
  <c r="T45" i="31" s="1"/>
  <c r="K73" i="31"/>
  <c r="S73" i="31"/>
  <c r="T73" i="31" s="1"/>
  <c r="R78" i="31"/>
  <c r="S78" i="31"/>
  <c r="T78" i="31" s="1"/>
  <c r="R82" i="31"/>
  <c r="S82" i="31"/>
  <c r="T82" i="31" s="1"/>
  <c r="R86" i="31"/>
  <c r="S86" i="31"/>
  <c r="T86" i="31" s="1"/>
  <c r="S40" i="31"/>
  <c r="T40" i="31" s="1"/>
  <c r="S75" i="31"/>
  <c r="T75" i="31" s="1"/>
  <c r="K75" i="31"/>
  <c r="AA76" i="31"/>
  <c r="AB76" i="31" s="1"/>
  <c r="K76" i="31"/>
  <c r="AA39" i="31"/>
  <c r="AB39" i="31" s="1"/>
  <c r="S71" i="31"/>
  <c r="T71" i="31" s="1"/>
  <c r="R79" i="31"/>
  <c r="S79" i="31"/>
  <c r="T79" i="31" s="1"/>
  <c r="R83" i="31"/>
  <c r="S83" i="31"/>
  <c r="T83" i="31" s="1"/>
  <c r="R87" i="31"/>
  <c r="S87" i="31"/>
  <c r="T87" i="31" s="1"/>
  <c r="S42" i="31"/>
  <c r="T42" i="31" s="1"/>
  <c r="S46" i="31"/>
  <c r="T46" i="31" s="1"/>
  <c r="S48" i="31"/>
  <c r="T48" i="31" s="1"/>
  <c r="W71" i="31"/>
  <c r="X71" i="31" s="1"/>
  <c r="AA91" i="31"/>
  <c r="AB91" i="31" s="1"/>
  <c r="K42" i="31"/>
  <c r="AA45" i="31"/>
  <c r="AB45" i="31" s="1"/>
  <c r="K46" i="31"/>
  <c r="S49" i="31"/>
  <c r="T49" i="31" s="1"/>
  <c r="AA71" i="31"/>
  <c r="AB71" i="31" s="1"/>
  <c r="S76" i="31"/>
  <c r="T76" i="31" s="1"/>
  <c r="R80" i="31"/>
  <c r="S80" i="31"/>
  <c r="T80" i="31" s="1"/>
  <c r="R84" i="31"/>
  <c r="S84" i="31"/>
  <c r="T84" i="31" s="1"/>
  <c r="R88" i="31"/>
  <c r="S88" i="31"/>
  <c r="T88" i="31" s="1"/>
  <c r="S44" i="31"/>
  <c r="T44" i="31" s="1"/>
  <c r="S50" i="31"/>
  <c r="T50" i="31" s="1"/>
  <c r="AF71" i="31"/>
  <c r="AE71" i="31" s="1"/>
  <c r="AA73" i="31"/>
  <c r="AB73" i="31" s="1"/>
  <c r="W75" i="31"/>
  <c r="X75" i="31" s="1"/>
  <c r="AF72" i="31"/>
  <c r="AE72" i="31" s="1"/>
  <c r="R77" i="31"/>
  <c r="S77" i="31"/>
  <c r="T77" i="31" s="1"/>
  <c r="R81" i="31"/>
  <c r="S81" i="31"/>
  <c r="T81" i="31" s="1"/>
  <c r="R85" i="31"/>
  <c r="S85" i="31"/>
  <c r="T85" i="31" s="1"/>
  <c r="K74" i="31"/>
  <c r="AF89" i="31"/>
  <c r="AE89" i="31" s="1"/>
  <c r="AF91" i="31"/>
  <c r="AE91" i="31" s="1"/>
  <c r="K100" i="31"/>
  <c r="S100" i="31"/>
  <c r="T100" i="31" s="1"/>
  <c r="AF100" i="31"/>
  <c r="AE100" i="31" s="1"/>
  <c r="W72" i="31"/>
  <c r="X72" i="31" s="1"/>
  <c r="W76" i="31"/>
  <c r="X76" i="31" s="1"/>
  <c r="K93" i="31"/>
  <c r="S93" i="31"/>
  <c r="T93" i="31" s="1"/>
  <c r="K96" i="31"/>
  <c r="S96" i="31"/>
  <c r="T96" i="31" s="1"/>
  <c r="AF96" i="31"/>
  <c r="AE96" i="31" s="1"/>
  <c r="S70" i="31"/>
  <c r="T70" i="31" s="1"/>
  <c r="W73" i="31"/>
  <c r="X73" i="31" s="1"/>
  <c r="S74" i="31"/>
  <c r="T74" i="31" s="1"/>
  <c r="AA89" i="31"/>
  <c r="AB89" i="31" s="1"/>
  <c r="AA93" i="31"/>
  <c r="AB93" i="31" s="1"/>
  <c r="K108" i="31"/>
  <c r="S108" i="31"/>
  <c r="T108" i="31" s="1"/>
  <c r="AF108" i="31"/>
  <c r="AE108" i="31" s="1"/>
  <c r="W91" i="31"/>
  <c r="X91" i="31" s="1"/>
  <c r="AA92" i="31"/>
  <c r="AB92" i="31" s="1"/>
  <c r="R120" i="31"/>
  <c r="S120" i="31"/>
  <c r="T120" i="31" s="1"/>
  <c r="W74" i="31"/>
  <c r="X74" i="31" s="1"/>
  <c r="S89" i="31"/>
  <c r="T89" i="31" s="1"/>
  <c r="S94" i="31"/>
  <c r="T94" i="31" s="1"/>
  <c r="K97" i="31"/>
  <c r="S97" i="31"/>
  <c r="T97" i="31" s="1"/>
  <c r="AF97" i="31"/>
  <c r="AE97" i="31" s="1"/>
  <c r="K99" i="31"/>
  <c r="S99" i="31"/>
  <c r="T99" i="31" s="1"/>
  <c r="AF99" i="31"/>
  <c r="AE99" i="31" s="1"/>
  <c r="W99" i="31"/>
  <c r="X99" i="31" s="1"/>
  <c r="K107" i="31"/>
  <c r="S107" i="31"/>
  <c r="T107" i="31" s="1"/>
  <c r="AF107" i="31"/>
  <c r="AE107" i="31" s="1"/>
  <c r="W107" i="31"/>
  <c r="X107" i="31" s="1"/>
  <c r="K115" i="31"/>
  <c r="S115" i="31"/>
  <c r="T115" i="31" s="1"/>
  <c r="K122" i="31"/>
  <c r="S122" i="31"/>
  <c r="T122" i="31" s="1"/>
  <c r="R129" i="31"/>
  <c r="S129" i="31"/>
  <c r="T129" i="31" s="1"/>
  <c r="R137" i="31"/>
  <c r="S137" i="31"/>
  <c r="T137" i="31" s="1"/>
  <c r="K98" i="31"/>
  <c r="S98" i="31"/>
  <c r="T98" i="31" s="1"/>
  <c r="AF98" i="31"/>
  <c r="AE98" i="31" s="1"/>
  <c r="W98" i="31"/>
  <c r="X98" i="31" s="1"/>
  <c r="AA100" i="31"/>
  <c r="AB100" i="31" s="1"/>
  <c r="K106" i="31"/>
  <c r="S106" i="31"/>
  <c r="T106" i="31" s="1"/>
  <c r="AF106" i="31"/>
  <c r="AE106" i="31" s="1"/>
  <c r="W106" i="31"/>
  <c r="X106" i="31" s="1"/>
  <c r="AA108" i="31"/>
  <c r="AB108" i="31" s="1"/>
  <c r="K114" i="31"/>
  <c r="S114" i="31"/>
  <c r="T114" i="31" s="1"/>
  <c r="AF114" i="31"/>
  <c r="AE114" i="31" s="1"/>
  <c r="W114" i="31"/>
  <c r="X114" i="31" s="1"/>
  <c r="K119" i="31"/>
  <c r="S119" i="31"/>
  <c r="T119" i="31" s="1"/>
  <c r="AF119" i="31"/>
  <c r="AE119" i="31" s="1"/>
  <c r="AF94" i="31"/>
  <c r="AE94" i="31" s="1"/>
  <c r="K105" i="31"/>
  <c r="S105" i="31"/>
  <c r="T105" i="31" s="1"/>
  <c r="AF105" i="31"/>
  <c r="AE105" i="31" s="1"/>
  <c r="W105" i="31"/>
  <c r="X105" i="31" s="1"/>
  <c r="K113" i="31"/>
  <c r="S113" i="31"/>
  <c r="T113" i="31" s="1"/>
  <c r="AF113" i="31"/>
  <c r="AE113" i="31" s="1"/>
  <c r="W113" i="31"/>
  <c r="X113" i="31" s="1"/>
  <c r="W94" i="31"/>
  <c r="X94" i="31" s="1"/>
  <c r="K104" i="31"/>
  <c r="S104" i="31"/>
  <c r="T104" i="31" s="1"/>
  <c r="AF104" i="31"/>
  <c r="AE104" i="31" s="1"/>
  <c r="W104" i="31"/>
  <c r="X104" i="31" s="1"/>
  <c r="K112" i="31"/>
  <c r="S112" i="31"/>
  <c r="T112" i="31" s="1"/>
  <c r="AF112" i="31"/>
  <c r="AE112" i="31" s="1"/>
  <c r="W112" i="31"/>
  <c r="X112" i="31" s="1"/>
  <c r="W122" i="31"/>
  <c r="X122" i="31" s="1"/>
  <c r="S90" i="31"/>
  <c r="T90" i="31" s="1"/>
  <c r="K95" i="31"/>
  <c r="S95" i="31"/>
  <c r="T95" i="31" s="1"/>
  <c r="AF95" i="31"/>
  <c r="AE95" i="31" s="1"/>
  <c r="K103" i="31"/>
  <c r="S103" i="31"/>
  <c r="T103" i="31" s="1"/>
  <c r="AF103" i="31"/>
  <c r="AE103" i="31" s="1"/>
  <c r="W103" i="31"/>
  <c r="X103" i="31" s="1"/>
  <c r="K111" i="31"/>
  <c r="S111" i="31"/>
  <c r="T111" i="31" s="1"/>
  <c r="AF111" i="31"/>
  <c r="AE111" i="31" s="1"/>
  <c r="W111" i="31"/>
  <c r="X111" i="31" s="1"/>
  <c r="K102" i="31"/>
  <c r="S102" i="31"/>
  <c r="T102" i="31" s="1"/>
  <c r="AF102" i="31"/>
  <c r="AE102" i="31" s="1"/>
  <c r="W102" i="31"/>
  <c r="X102" i="31" s="1"/>
  <c r="AA104" i="31"/>
  <c r="AB104" i="31" s="1"/>
  <c r="K110" i="31"/>
  <c r="S110" i="31"/>
  <c r="T110" i="31" s="1"/>
  <c r="AF110" i="31"/>
  <c r="AE110" i="31" s="1"/>
  <c r="W110" i="31"/>
  <c r="X110" i="31" s="1"/>
  <c r="AA112" i="31"/>
  <c r="AB112" i="31" s="1"/>
  <c r="W119" i="31"/>
  <c r="X119" i="31" s="1"/>
  <c r="AA122" i="31"/>
  <c r="AB122" i="31" s="1"/>
  <c r="K128" i="31"/>
  <c r="S128" i="31"/>
  <c r="T128" i="31" s="1"/>
  <c r="K136" i="31"/>
  <c r="S136" i="31"/>
  <c r="T136" i="31" s="1"/>
  <c r="K101" i="31"/>
  <c r="S101" i="31"/>
  <c r="T101" i="31" s="1"/>
  <c r="AF101" i="31"/>
  <c r="AE101" i="31" s="1"/>
  <c r="W101" i="31"/>
  <c r="X101" i="31" s="1"/>
  <c r="K109" i="31"/>
  <c r="S109" i="31"/>
  <c r="T109" i="31" s="1"/>
  <c r="AF109" i="31"/>
  <c r="AE109" i="31" s="1"/>
  <c r="W109" i="31"/>
  <c r="X109" i="31" s="1"/>
  <c r="AA119" i="31"/>
  <c r="AB119" i="31" s="1"/>
  <c r="AF116" i="31"/>
  <c r="AE116" i="31" s="1"/>
  <c r="S127" i="31"/>
  <c r="T127" i="31" s="1"/>
  <c r="S135" i="31"/>
  <c r="T135" i="31" s="1"/>
  <c r="W138" i="31"/>
  <c r="X138" i="31" s="1"/>
  <c r="S185" i="31"/>
  <c r="T185" i="31" s="1"/>
  <c r="K185" i="31"/>
  <c r="S126" i="31"/>
  <c r="T126" i="31" s="1"/>
  <c r="S134" i="31"/>
  <c r="T134" i="31" s="1"/>
  <c r="S118" i="31"/>
  <c r="T118" i="31" s="1"/>
  <c r="S123" i="31"/>
  <c r="T123" i="31" s="1"/>
  <c r="W126" i="31"/>
  <c r="X126" i="31" s="1"/>
  <c r="S131" i="31"/>
  <c r="T131" i="31" s="1"/>
  <c r="W134" i="31"/>
  <c r="X134" i="31" s="1"/>
  <c r="S139" i="31"/>
  <c r="T139" i="31" s="1"/>
  <c r="S121" i="31"/>
  <c r="T121" i="31" s="1"/>
  <c r="W123" i="31"/>
  <c r="X123" i="31" s="1"/>
  <c r="W131" i="31"/>
  <c r="X131" i="31" s="1"/>
  <c r="W139" i="31"/>
  <c r="X139" i="31" s="1"/>
  <c r="S146" i="31"/>
  <c r="T146" i="31" s="1"/>
  <c r="K146" i="31"/>
  <c r="S116" i="31"/>
  <c r="T116" i="31" s="1"/>
  <c r="S125" i="31"/>
  <c r="T125" i="31" s="1"/>
  <c r="AF127" i="31"/>
  <c r="AE127" i="31" s="1"/>
  <c r="W128" i="31"/>
  <c r="X128" i="31" s="1"/>
  <c r="AA129" i="31"/>
  <c r="AB129" i="31" s="1"/>
  <c r="S133" i="31"/>
  <c r="T133" i="31" s="1"/>
  <c r="W136" i="31"/>
  <c r="X136" i="31" s="1"/>
  <c r="AA137" i="31"/>
  <c r="AB137" i="31" s="1"/>
  <c r="S141" i="31"/>
  <c r="T141" i="31" s="1"/>
  <c r="AA142" i="31"/>
  <c r="AB142" i="31" s="1"/>
  <c r="AA126" i="31"/>
  <c r="AB126" i="31" s="1"/>
  <c r="AA134" i="31"/>
  <c r="AB134" i="31" s="1"/>
  <c r="W141" i="31"/>
  <c r="X141" i="31" s="1"/>
  <c r="S142" i="31"/>
  <c r="T142" i="31" s="1"/>
  <c r="K142" i="31"/>
  <c r="AF142" i="31"/>
  <c r="AE142" i="31" s="1"/>
  <c r="S143" i="31"/>
  <c r="T143" i="31" s="1"/>
  <c r="K143" i="31"/>
  <c r="S144" i="31"/>
  <c r="T144" i="31" s="1"/>
  <c r="K144" i="31"/>
  <c r="S148" i="31"/>
  <c r="T148" i="31" s="1"/>
  <c r="K148" i="31"/>
  <c r="AA148" i="31"/>
  <c r="AB148" i="31" s="1"/>
  <c r="S150" i="31"/>
  <c r="T150" i="31" s="1"/>
  <c r="K150" i="31"/>
  <c r="AA150" i="31"/>
  <c r="AB150" i="31" s="1"/>
  <c r="S152" i="31"/>
  <c r="T152" i="31" s="1"/>
  <c r="K152" i="31"/>
  <c r="AA152" i="31"/>
  <c r="AB152" i="31" s="1"/>
  <c r="S154" i="31"/>
  <c r="T154" i="31" s="1"/>
  <c r="K154" i="31"/>
  <c r="AA154" i="31"/>
  <c r="AB154" i="31" s="1"/>
  <c r="S156" i="31"/>
  <c r="T156" i="31" s="1"/>
  <c r="K156" i="31"/>
  <c r="AA156" i="31"/>
  <c r="AB156" i="31" s="1"/>
  <c r="S158" i="31"/>
  <c r="T158" i="31" s="1"/>
  <c r="K158" i="31"/>
  <c r="AA158" i="31"/>
  <c r="AB158" i="31" s="1"/>
  <c r="AF185" i="31"/>
  <c r="AE185" i="31" s="1"/>
  <c r="S177" i="31"/>
  <c r="T177" i="31" s="1"/>
  <c r="K177" i="31"/>
  <c r="S145" i="31"/>
  <c r="T145" i="31" s="1"/>
  <c r="K145" i="31"/>
  <c r="S147" i="31"/>
  <c r="T147" i="31" s="1"/>
  <c r="K147" i="31"/>
  <c r="S149" i="31"/>
  <c r="T149" i="31" s="1"/>
  <c r="K149" i="31"/>
  <c r="S151" i="31"/>
  <c r="T151" i="31" s="1"/>
  <c r="K151" i="31"/>
  <c r="S153" i="31"/>
  <c r="T153" i="31" s="1"/>
  <c r="K153" i="31"/>
  <c r="AA153" i="31"/>
  <c r="AB153" i="31" s="1"/>
  <c r="S155" i="31"/>
  <c r="T155" i="31" s="1"/>
  <c r="K155" i="31"/>
  <c r="AA155" i="31"/>
  <c r="AB155" i="31" s="1"/>
  <c r="S157" i="31"/>
  <c r="T157" i="31" s="1"/>
  <c r="K157" i="31"/>
  <c r="AA157" i="31"/>
  <c r="AB157" i="31" s="1"/>
  <c r="S159" i="31"/>
  <c r="T159" i="31" s="1"/>
  <c r="K159" i="31"/>
  <c r="AA159" i="31"/>
  <c r="AB159" i="31" s="1"/>
  <c r="S173" i="31"/>
  <c r="T173" i="31" s="1"/>
  <c r="K173" i="31"/>
  <c r="S181" i="31"/>
  <c r="T181" i="31" s="1"/>
  <c r="K181" i="31"/>
  <c r="W174" i="31"/>
  <c r="X174" i="31" s="1"/>
  <c r="W178" i="31"/>
  <c r="X178" i="31" s="1"/>
  <c r="W182" i="31"/>
  <c r="X182" i="31" s="1"/>
  <c r="W186" i="31"/>
  <c r="X186" i="31" s="1"/>
  <c r="S161" i="31"/>
  <c r="T161" i="31" s="1"/>
  <c r="S163" i="31"/>
  <c r="T163" i="31" s="1"/>
  <c r="S165" i="31"/>
  <c r="T165" i="31" s="1"/>
  <c r="S167" i="31"/>
  <c r="T167" i="31" s="1"/>
  <c r="S169" i="31"/>
  <c r="T169" i="31" s="1"/>
  <c r="S171" i="31"/>
  <c r="T171" i="31" s="1"/>
  <c r="S174" i="31"/>
  <c r="T174" i="31" s="1"/>
  <c r="AF174" i="31"/>
  <c r="AE174" i="31" s="1"/>
  <c r="S178" i="31"/>
  <c r="T178" i="31" s="1"/>
  <c r="AF178" i="31"/>
  <c r="AE178" i="31" s="1"/>
  <c r="AF182" i="31"/>
  <c r="AE182" i="31" s="1"/>
  <c r="AF186" i="31"/>
  <c r="AE186" i="31" s="1"/>
  <c r="S160" i="31"/>
  <c r="T160" i="31" s="1"/>
  <c r="W160" i="31"/>
  <c r="X160" i="31" s="1"/>
  <c r="K161" i="31"/>
  <c r="K163" i="31"/>
  <c r="K165" i="31"/>
  <c r="K167" i="31"/>
  <c r="K169" i="31"/>
  <c r="K171" i="31"/>
  <c r="K174" i="31"/>
  <c r="K178" i="31"/>
  <c r="K182" i="31"/>
  <c r="K186" i="31"/>
  <c r="AF163" i="31"/>
  <c r="AE163" i="31" s="1"/>
  <c r="AF165" i="31"/>
  <c r="AE165" i="31" s="1"/>
  <c r="AF167" i="31"/>
  <c r="AE167" i="31" s="1"/>
  <c r="AF169" i="31"/>
  <c r="AE169" i="31" s="1"/>
  <c r="W170" i="31"/>
  <c r="X170" i="31" s="1"/>
  <c r="AF171" i="31"/>
  <c r="AE171" i="31" s="1"/>
  <c r="AA172" i="31"/>
  <c r="AB172" i="31" s="1"/>
  <c r="S175" i="31"/>
  <c r="T175" i="31" s="1"/>
  <c r="AF175" i="31"/>
  <c r="AE175" i="31" s="1"/>
  <c r="AA176" i="31"/>
  <c r="AB176" i="31" s="1"/>
  <c r="S179" i="31"/>
  <c r="T179" i="31" s="1"/>
  <c r="AF179" i="31"/>
  <c r="AE179" i="31" s="1"/>
  <c r="AF183" i="31"/>
  <c r="AE183" i="31" s="1"/>
  <c r="AF187" i="31"/>
  <c r="AE187" i="31" s="1"/>
  <c r="W173" i="31"/>
  <c r="X173" i="31" s="1"/>
  <c r="W177" i="31"/>
  <c r="X177" i="31" s="1"/>
  <c r="W181" i="31"/>
  <c r="X181" i="31" s="1"/>
  <c r="W185" i="31"/>
  <c r="X185" i="31" s="1"/>
  <c r="S162" i="31"/>
  <c r="T162" i="31" s="1"/>
  <c r="S164" i="31"/>
  <c r="T164" i="31" s="1"/>
  <c r="S166" i="31"/>
  <c r="T166" i="31" s="1"/>
  <c r="S168" i="31"/>
  <c r="T168" i="31" s="1"/>
  <c r="S170" i="31"/>
  <c r="T170" i="31" s="1"/>
  <c r="S172" i="31"/>
  <c r="T172" i="31" s="1"/>
  <c r="AF172" i="31"/>
  <c r="AE172" i="31" s="1"/>
  <c r="AA173" i="31"/>
  <c r="AB173" i="31" s="1"/>
  <c r="S176" i="31"/>
  <c r="T176" i="31" s="1"/>
  <c r="AF176" i="31"/>
  <c r="AE176" i="31" s="1"/>
  <c r="AA177" i="31"/>
  <c r="AB177" i="31" s="1"/>
  <c r="AF180" i="31"/>
  <c r="AE180" i="31" s="1"/>
  <c r="AA181" i="31"/>
  <c r="AB181" i="31" s="1"/>
  <c r="AF184" i="31"/>
  <c r="AE184" i="31" s="1"/>
  <c r="AA185" i="31"/>
  <c r="AB185" i="31" s="1"/>
  <c r="C9" i="30" l="1"/>
  <c r="C12" i="30"/>
  <c r="C27" i="30"/>
  <c r="C25" i="30"/>
  <c r="C24" i="30"/>
  <c r="C10" i="30"/>
  <c r="C26" i="30"/>
  <c r="C11" i="30"/>
  <c r="G18" i="23" l="1"/>
  <c r="F18" i="23"/>
  <c r="C21" i="30"/>
  <c r="C28" i="30" s="1"/>
  <c r="C6" i="30"/>
  <c r="C8" i="30"/>
  <c r="C23" i="30"/>
  <c r="G14" i="23"/>
  <c r="C13" i="30" l="1"/>
  <c r="C20" i="30"/>
  <c r="C22" i="30"/>
  <c r="C7" i="30"/>
  <c r="F7" i="30" s="1"/>
  <c r="C5" i="30"/>
  <c r="I7" i="30" s="1"/>
  <c r="F65" i="26" s="1"/>
  <c r="F9" i="30" l="1"/>
  <c r="F5" i="30"/>
  <c r="F24" i="30"/>
  <c r="I21" i="30"/>
  <c r="I22" i="30"/>
  <c r="F67" i="26" s="1"/>
  <c r="F75" i="26" s="1"/>
  <c r="F22" i="30"/>
  <c r="F20" i="30"/>
  <c r="I23" i="30" l="1"/>
  <c r="H41" i="26" s="1"/>
  <c r="F10" i="30"/>
  <c r="I9" i="30" s="1"/>
  <c r="I8" i="30"/>
  <c r="F11" i="30"/>
  <c r="I10" i="30" s="1"/>
  <c r="F59" i="26" s="1"/>
  <c r="F26" i="30"/>
  <c r="I25" i="30" s="1"/>
  <c r="I5" i="30"/>
  <c r="F37" i="26" s="1"/>
  <c r="I20" i="30"/>
  <c r="H37" i="26" s="1"/>
  <c r="F25" i="30"/>
  <c r="C6" i="23"/>
  <c r="F55" i="26" l="1"/>
  <c r="F41" i="26"/>
  <c r="F43" i="26"/>
  <c r="D53" i="26"/>
  <c r="I24" i="30"/>
  <c r="H43" i="26" s="1"/>
  <c r="Q2" i="20"/>
  <c r="S2" i="20"/>
  <c r="F57" i="26" l="1"/>
  <c r="Q3" i="20"/>
  <c r="Q4" i="20"/>
  <c r="Q5" i="20"/>
  <c r="Q6" i="20"/>
  <c r="Q7" i="20"/>
  <c r="Q8" i="20"/>
  <c r="Q9" i="20"/>
  <c r="Q10" i="20"/>
  <c r="Q11" i="20"/>
  <c r="Q12" i="20"/>
  <c r="Q13" i="20"/>
  <c r="Q14" i="20"/>
  <c r="Q15" i="20"/>
  <c r="Q16" i="20"/>
  <c r="Q17" i="20"/>
  <c r="Q18" i="20"/>
  <c r="Q19" i="20"/>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R2" i="20"/>
  <c r="R3" i="20"/>
  <c r="R4" i="20"/>
  <c r="R5" i="20"/>
  <c r="R6" i="20"/>
  <c r="R7" i="20"/>
  <c r="R8" i="20"/>
  <c r="R9" i="20"/>
  <c r="R10" i="20"/>
  <c r="R11" i="20"/>
  <c r="R12" i="20"/>
  <c r="R13" i="20"/>
  <c r="R14" i="20"/>
  <c r="R15" i="20"/>
  <c r="R16" i="20"/>
  <c r="R17" i="20"/>
  <c r="R18" i="20"/>
  <c r="R19" i="20"/>
  <c r="R20" i="20"/>
  <c r="R21" i="20"/>
  <c r="R22" i="20"/>
  <c r="R23" i="20"/>
  <c r="R24" i="20"/>
  <c r="R25" i="20"/>
  <c r="R26" i="20"/>
  <c r="R27" i="20"/>
  <c r="R28" i="20"/>
  <c r="R29" i="20"/>
  <c r="R30" i="20"/>
  <c r="R31" i="20"/>
  <c r="R32" i="20"/>
  <c r="R33" i="20"/>
  <c r="R34" i="20"/>
  <c r="R35" i="20"/>
  <c r="R36" i="20"/>
  <c r="R37" i="20"/>
  <c r="R38" i="20"/>
  <c r="R39" i="20"/>
  <c r="R40" i="20"/>
  <c r="R41" i="20"/>
  <c r="R42" i="20"/>
  <c r="R43" i="20"/>
  <c r="R44" i="20"/>
  <c r="R45" i="20"/>
  <c r="R46" i="20"/>
  <c r="R47" i="20"/>
  <c r="R48" i="20"/>
  <c r="R49" i="20"/>
  <c r="R50" i="20"/>
  <c r="R51" i="20"/>
  <c r="R52" i="20"/>
  <c r="R53" i="20"/>
  <c r="R54" i="20"/>
  <c r="R55" i="20"/>
  <c r="R56" i="20"/>
  <c r="R57" i="20"/>
  <c r="R58" i="20"/>
  <c r="R59" i="20"/>
  <c r="R60" i="20"/>
  <c r="R61" i="20"/>
  <c r="R62" i="20"/>
  <c r="R63" i="20"/>
  <c r="R64" i="20"/>
  <c r="R65" i="20"/>
  <c r="S3" i="20"/>
  <c r="S4"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S60" i="20"/>
  <c r="S61" i="20"/>
  <c r="S62" i="20"/>
  <c r="S63" i="20"/>
  <c r="S64" i="20"/>
  <c r="S65" i="20"/>
  <c r="F85" i="26" l="1"/>
  <c r="F83" i="26"/>
  <c r="T2" i="20"/>
  <c r="I6"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 Bernard</author>
  </authors>
  <commentList>
    <comment ref="D4" authorId="0" shapeId="0" xr:uid="{E5FE9935-0B16-46BE-97F1-968C0A07BDF6}">
      <text>
        <r>
          <rPr>
            <b/>
            <sz val="9"/>
            <color indexed="81"/>
            <rFont val="Tahoma"/>
            <family val="2"/>
          </rPr>
          <t xml:space="preserve">Current subsidy:
</t>
        </r>
        <r>
          <rPr>
            <sz val="9"/>
            <color indexed="81"/>
            <rFont val="Tahoma"/>
            <family val="2"/>
          </rPr>
          <t xml:space="preserve">The first cell is the fixed base amount and the second is the additional amount per kBtu/h. The subsidy in effect in this version of the calculator is $2000 base and $5 per kBtu/h.
</t>
        </r>
        <r>
          <rPr>
            <b/>
            <sz val="9"/>
            <color indexed="81"/>
            <rFont val="Tahoma"/>
            <family val="2"/>
          </rPr>
          <t>Example:</t>
        </r>
        <r>
          <rPr>
            <sz val="9"/>
            <color indexed="81"/>
            <rFont val="Tahoma"/>
            <family val="2"/>
          </rPr>
          <t xml:space="preserve">
1st cell: 2000$
2nd cell: 5$ par kBtu/h</t>
        </r>
      </text>
    </comment>
    <comment ref="D13" authorId="0" shapeId="0" xr:uid="{47C2D2EF-218D-4F71-B184-07541CFCA9D3}">
      <text>
        <r>
          <rPr>
            <b/>
            <sz val="9"/>
            <color indexed="81"/>
            <rFont val="Tahoma"/>
            <family val="2"/>
          </rPr>
          <t xml:space="preserve">Unit Capacity:
</t>
        </r>
        <r>
          <rPr>
            <sz val="9"/>
            <color indexed="81"/>
            <rFont val="Tahoma"/>
            <family val="2"/>
          </rPr>
          <t>Insert the average capacity when there is more than one device.</t>
        </r>
        <r>
          <rPr>
            <b/>
            <sz val="9"/>
            <color indexed="81"/>
            <rFont val="Tahoma"/>
            <family val="2"/>
          </rPr>
          <t xml:space="preserve">
</t>
        </r>
        <r>
          <rPr>
            <sz val="9"/>
            <color indexed="81"/>
            <rFont val="Tahoma"/>
            <family val="2"/>
          </rPr>
          <t xml:space="preserve">
</t>
        </r>
        <r>
          <rPr>
            <b/>
            <sz val="9"/>
            <color indexed="81"/>
            <rFont val="Tahoma"/>
            <family val="2"/>
          </rPr>
          <t>Example:</t>
        </r>
        <r>
          <rPr>
            <sz val="9"/>
            <color indexed="81"/>
            <rFont val="Tahoma"/>
            <family val="2"/>
          </rPr>
          <t xml:space="preserve">
If you have 1 unit that has a capacity of 120,000 Btu/h and 1 unit that has a capacity of 180,000 Btu/h, the value that should be entered is 150,000 Btu/h, which is the average.</t>
        </r>
      </text>
    </comment>
    <comment ref="D24" authorId="0" shapeId="0" xr:uid="{B62A00E0-0DD4-4E2C-A932-32220C5E43DC}">
      <text>
        <r>
          <rPr>
            <b/>
            <sz val="9"/>
            <color indexed="81"/>
            <rFont val="Tahoma"/>
            <family val="2"/>
          </rPr>
          <t>Annual Operating Hours:</t>
        </r>
        <r>
          <rPr>
            <sz val="9"/>
            <color indexed="81"/>
            <rFont val="Tahoma"/>
            <family val="2"/>
          </rPr>
          <t xml:space="preserve">
Insert the average of hours when there is more than one device.
</t>
        </r>
        <r>
          <rPr>
            <b/>
            <sz val="9"/>
            <color indexed="81"/>
            <rFont val="Tahoma"/>
            <family val="2"/>
          </rPr>
          <t>Example:</t>
        </r>
        <r>
          <rPr>
            <sz val="9"/>
            <color indexed="81"/>
            <rFont val="Tahoma"/>
            <family val="2"/>
          </rPr>
          <t xml:space="preserve">
If you have 1 device that runs 1500h/year and 1 device that runs 1100h/year, the value that should be entered is 1300h/year, which is the average.</t>
        </r>
      </text>
    </comment>
    <comment ref="D28" authorId="0" shapeId="0" xr:uid="{E48E18AC-37CE-4B35-AF47-8C4793888919}">
      <text>
        <r>
          <rPr>
            <b/>
            <sz val="9"/>
            <color indexed="81"/>
            <rFont val="Tahoma"/>
            <family val="2"/>
          </rPr>
          <t xml:space="preserve">Device Efficiency:
</t>
        </r>
        <r>
          <rPr>
            <sz val="9"/>
            <color indexed="81"/>
            <rFont val="Tahoma"/>
            <family val="2"/>
          </rPr>
          <t>Insert the average efficiency when there is more than one device.</t>
        </r>
        <r>
          <rPr>
            <b/>
            <sz val="9"/>
            <color indexed="81"/>
            <rFont val="Tahoma"/>
            <family val="2"/>
          </rPr>
          <t xml:space="preserve">
Example:
</t>
        </r>
        <r>
          <rPr>
            <sz val="9"/>
            <color indexed="81"/>
            <rFont val="Tahoma"/>
            <family val="2"/>
          </rPr>
          <t>If you have 1 device that has an efficiency of 80% and 1 device that has an efficiency of 84%, the value that should be entered is 82% which corresponds to the average.</t>
        </r>
      </text>
    </comment>
    <comment ref="D30" authorId="0" shapeId="0" xr:uid="{2972E0BB-3514-4307-A91B-E13575614F7F}">
      <text>
        <r>
          <rPr>
            <b/>
            <sz val="9"/>
            <color indexed="81"/>
            <rFont val="Tahoma"/>
            <family val="2"/>
          </rPr>
          <t>Total cost of acquisition of equipment:</t>
        </r>
        <r>
          <rPr>
            <sz val="9"/>
            <color indexed="81"/>
            <rFont val="Tahoma"/>
            <family val="2"/>
          </rPr>
          <t xml:space="preserve">
Insert the total acquisition cost of all devices when there is more than one device.
</t>
        </r>
        <r>
          <rPr>
            <b/>
            <sz val="9"/>
            <color indexed="81"/>
            <rFont val="Tahoma"/>
            <family val="2"/>
          </rPr>
          <t>Example:</t>
        </r>
        <r>
          <rPr>
            <sz val="9"/>
            <color indexed="81"/>
            <rFont val="Tahoma"/>
            <family val="2"/>
          </rPr>
          <t xml:space="preserve">
If you have 1 device that has an efficiency of $2000 and 1 device that has an efficiency of $4000, the value that must be entered is $6000 which corresponds to the sum of the cost of acquiring the devices.
</t>
        </r>
      </text>
    </comment>
    <comment ref="D32" authorId="0" shapeId="0" xr:uid="{5B8E2C8B-AA74-4D7D-81E7-6FB906514235}">
      <text>
        <r>
          <rPr>
            <b/>
            <sz val="9"/>
            <color indexed="81"/>
            <rFont val="Tahoma"/>
            <family val="2"/>
          </rPr>
          <t>Total cost of installation:</t>
        </r>
        <r>
          <rPr>
            <sz val="9"/>
            <color indexed="81"/>
            <rFont val="Tahoma"/>
            <family val="2"/>
          </rPr>
          <t xml:space="preserve">
Insert the cost of installation for all devices when there is more than one device.
</t>
        </r>
        <r>
          <rPr>
            <b/>
            <sz val="9"/>
            <color indexed="81"/>
            <rFont val="Tahoma"/>
            <family val="2"/>
          </rPr>
          <t>Example:</t>
        </r>
        <r>
          <rPr>
            <sz val="9"/>
            <color indexed="81"/>
            <rFont val="Tahoma"/>
            <family val="2"/>
          </rPr>
          <t xml:space="preserve">
If the installation of 2 appliances costs $2400, the value that must be entered is $2400 which corresponds to the cost of installing the appliances.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G202" authorId="0" shapeId="0" xr:uid="{DEC4D58A-22DF-4278-953E-08DC0E952B64}">
      <text>
        <r>
          <rPr>
            <b/>
            <sz val="9"/>
            <color indexed="81"/>
            <rFont val="Tahoma"/>
            <family val="2"/>
          </rPr>
          <t>Eppner Fanny:</t>
        </r>
        <r>
          <rPr>
            <sz val="9"/>
            <color indexed="81"/>
            <rFont val="Tahoma"/>
            <family val="2"/>
          </rPr>
          <t xml:space="preserve">
Est-ce qu'on devrait exclure les données de 2019-2020? J'ai l'impression que les économies sont faussées non?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tc={2D733443-3C14-4345-BEED-9617CEDFB48F}</author>
    <author>tc={7245E22F-E632-4D9D-8A18-99BCA2C3A008}</author>
  </authors>
  <commentList>
    <comment ref="C2" authorId="0" shapeId="0" xr:uid="{2D733443-3C14-4345-BEED-9617CEDFB48F}">
      <text>
        <t>[Threaded comment]
Your version of Excel allows you to read this threaded comment; however, any edits to it will get removed if the file is opened in a newer version of Excel. Learn more: https://go.microsoft.com/fwlink/?linkid=870924
Comment:
    Provient d’une simulation antérieure dont les résultats se trouvent dans l’onglet Économies réelles</t>
      </text>
    </comment>
    <comment ref="D2" authorId="1" shapeId="0" xr:uid="{7245E22F-E632-4D9D-8A18-99BCA2C3A008}">
      <text>
        <t xml:space="preserve">[Threaded comment]
Your version of Excel allows you to read this threaded comment; however, any edits to it will get removed if the file is opened in a newer version of Excel. Learn more: https://go.microsoft.com/fwlink/?linkid=870924
Comment:
    Obtenu en remplacant les BTU dans l’outil de calcul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Nicolas Bombard</author>
  </authors>
  <commentList>
    <comment ref="A1" authorId="0" shapeId="0" xr:uid="{051E31D3-AC71-4E8B-87EA-72DD59812537}">
      <text>
        <r>
          <rPr>
            <b/>
            <sz val="9"/>
            <color indexed="81"/>
            <rFont val="Tahoma"/>
            <family val="2"/>
          </rPr>
          <t>Nicolas Bombard:</t>
        </r>
        <r>
          <rPr>
            <sz val="9"/>
            <color indexed="81"/>
            <rFont val="Tahoma"/>
            <family val="2"/>
          </rPr>
          <t xml:space="preserve">
Correspond aux subdivisions des listes selon le type ou la gamme de puissance</t>
        </r>
      </text>
    </comment>
    <comment ref="H1" authorId="0" shapeId="0" xr:uid="{807C3A21-FFC5-40F1-AEC7-92DDBE0D97AA}">
      <text>
        <r>
          <rPr>
            <b/>
            <sz val="9"/>
            <color indexed="81"/>
            <rFont val="Tahoma"/>
            <family val="2"/>
          </rPr>
          <t>Nicolas Bombard:</t>
        </r>
        <r>
          <rPr>
            <sz val="9"/>
            <color indexed="81"/>
            <rFont val="Tahoma"/>
            <family val="2"/>
          </rPr>
          <t xml:space="preserve">
Pour les programmes suivants seulement:
PE111
PE113
PE123a
PE202
PE210a_&lt; 300k BTU
PE210b_&gt; 300k BTU
PE212
PE215</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4DD2E6F-6C70-4630-9244-3B5495191241}" keepAlive="1" name="Query - Table 1" description="Connection to the 'Table 1' query in the workbook." type="5" refreshedVersion="8" refreshOnLoad="1" saveData="1">
    <dbPr connection="Provider=Microsoft.Mashup.OleDb.1;Data Source=$Workbook$;Location=&quot;Table 1&quot;;Extended Properties=&quot;&quot;" command="SELECT * FROM [Table 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<sst xmlns="http://schemas.openxmlformats.org/spreadsheetml/2006/main" count="1105" uniqueCount="385">
  <si>
    <t>Aide financière totale ($)</t>
  </si>
  <si>
    <t>Appareil 1</t>
  </si>
  <si>
    <t>Appareil 2</t>
  </si>
  <si>
    <t>Unités</t>
  </si>
  <si>
    <t>Standard</t>
  </si>
  <si>
    <t>Btu/h</t>
  </si>
  <si>
    <t>%</t>
  </si>
  <si>
    <t>$</t>
  </si>
  <si>
    <t>Informations requises:</t>
  </si>
  <si>
    <t>Résultats intermédiaires:</t>
  </si>
  <si>
    <t>Estimations:</t>
  </si>
  <si>
    <t>Capacité (BTU/h)</t>
  </si>
  <si>
    <t>Capacité totale fournie (BTU/h)</t>
  </si>
  <si>
    <t>Capacité suffisante (-)</t>
  </si>
  <si>
    <t>Nombre d'appareil</t>
  </si>
  <si>
    <t>Puissance de chauffe nécessaire (BTU/h/pi2)</t>
  </si>
  <si>
    <t>Coût total ($)</t>
  </si>
  <si>
    <t>Type d'installation</t>
  </si>
  <si>
    <t>Capacité totale besoin (BTU/h)</t>
  </si>
  <si>
    <t>Surface à chauffer (pi2)</t>
  </si>
  <si>
    <t>Aide financière par appareil ($)</t>
  </si>
  <si>
    <t>Consommation d'énergies totale (m3)</t>
  </si>
  <si>
    <t>Heures d'utilisation (h/an)</t>
  </si>
  <si>
    <t>Consommation par appareil par an (m3/an)</t>
  </si>
  <si>
    <t>Consommation d'énergies monétaire totale ($)</t>
  </si>
  <si>
    <t>Coût du gaz ($/m3)</t>
  </si>
  <si>
    <t>Consommation monétaire par appareil par an ($)</t>
  </si>
  <si>
    <t>GES consumed (m3)</t>
  </si>
  <si>
    <t>Durée de vie (année)</t>
  </si>
  <si>
    <t>GES évités par appareil par an (m3)</t>
  </si>
  <si>
    <t>Efficacité de l'appareil (%)</t>
  </si>
  <si>
    <t>Coût de l'appareil ($)</t>
  </si>
  <si>
    <t>Atelier mécanique</t>
  </si>
  <si>
    <t>Type d'appareil</t>
  </si>
  <si>
    <t>Hangar d'avions</t>
  </si>
  <si>
    <t>AEROTHERME</t>
  </si>
  <si>
    <t>INFRAROUGE</t>
  </si>
  <si>
    <t>Valeur de référence:</t>
  </si>
  <si>
    <t>Type de bâtiment</t>
  </si>
  <si>
    <t>Entrepôt</t>
  </si>
  <si>
    <t xml:space="preserve">ratio de GN en GES </t>
  </si>
  <si>
    <t>Efficacité ref (%)</t>
  </si>
  <si>
    <t>Efficacité nouv (%)</t>
  </si>
  <si>
    <t>Pouvoir calorifique GN (BTU/m3)</t>
  </si>
  <si>
    <t>Surcout installation</t>
  </si>
  <si>
    <t>Note:</t>
  </si>
  <si>
    <t>Le coût incremental peut être une donnée d'entrée (rentrer un chiffre) ou une estimation (rentrer "N/D")
L'estimation du coût incremental vient de l'équation du graphique à l'onglet "courbe" (à modifier au besoin)
L'aide financière est calculé selon la nouvelle subvention (2000$ + 5$/kBtu)
L'outil vérifie aussi si la capacité totale est valide pour la surface à chauffer et type d'installation
Les cases grises ne sont pas obligatoires et se réfèrent aux données de référence lorsque "N/D" est inscrit</t>
  </si>
  <si>
    <t>Période</t>
  </si>
  <si>
    <t>Prix référenceÉnergir($/GJ)</t>
  </si>
  <si>
    <t>Prix référenceÉnergir(¢/m³)</t>
  </si>
  <si>
    <t>Prix du marchéContrat 1 an($/GJ)</t>
  </si>
  <si>
    <t>Prix du marchéMensuel($/GJ)</t>
  </si>
  <si>
    <t>Catégories PEE</t>
  </si>
  <si>
    <t>Distributeur</t>
  </si>
  <si>
    <t>Manufacturier</t>
  </si>
  <si>
    <t>Marque</t>
  </si>
  <si>
    <t>Modèle</t>
  </si>
  <si>
    <t>Capacité inférieure (PE215)
(Btu/h)</t>
  </si>
  <si>
    <t>Capacité (Btu/h)</t>
  </si>
  <si>
    <t>Gamme de capacité (Btu/h)</t>
  </si>
  <si>
    <t>Efficacité</t>
  </si>
  <si>
    <t>Type d'efficacité 
(FRT / AFUE / UEF (FE) / Efficacité thermique)</t>
  </si>
  <si>
    <t>Efficacité de combustion
(%)
(facultatif)</t>
  </si>
  <si>
    <t>Matériau de l'échangeur</t>
  </si>
  <si>
    <t>Taux de modulation</t>
  </si>
  <si>
    <t>Pleine modulation ou   par stage</t>
  </si>
  <si>
    <t>Boiler Reset Control 
OU
Indoor / Outdoor</t>
  </si>
  <si>
    <t>Prix moyen (net) facturé à l'entrepreneur</t>
  </si>
  <si>
    <t>Surcoût moyen
(Équipements)</t>
  </si>
  <si>
    <t>Surcoût moyen
(Avec Installation)</t>
  </si>
  <si>
    <t xml:space="preserve">AF </t>
  </si>
  <si>
    <t>PE225</t>
  </si>
  <si>
    <t>Beautech</t>
  </si>
  <si>
    <t>Mestek</t>
  </si>
  <si>
    <t>Beacon/Morris</t>
  </si>
  <si>
    <t>BH050</t>
  </si>
  <si>
    <t/>
  </si>
  <si>
    <t>3:1</t>
  </si>
  <si>
    <t>Pleine modulation</t>
  </si>
  <si>
    <t>BH100</t>
  </si>
  <si>
    <t>BH150</t>
  </si>
  <si>
    <t>BH200</t>
  </si>
  <si>
    <t>BH300</t>
  </si>
  <si>
    <t>BH400</t>
  </si>
  <si>
    <t>Sterling</t>
  </si>
  <si>
    <t>HU050</t>
  </si>
  <si>
    <t>HU100</t>
  </si>
  <si>
    <t>HU150</t>
  </si>
  <si>
    <t>HU200</t>
  </si>
  <si>
    <t>HU300</t>
  </si>
  <si>
    <t>HU400</t>
  </si>
  <si>
    <t>Trane</t>
  </si>
  <si>
    <t>HINA050</t>
  </si>
  <si>
    <t>HINA100</t>
  </si>
  <si>
    <t>HINA150</t>
  </si>
  <si>
    <t>HINA200</t>
  </si>
  <si>
    <t>HINA300</t>
  </si>
  <si>
    <t>HINA400</t>
  </si>
  <si>
    <t>HIPA050</t>
  </si>
  <si>
    <t>HIPA100</t>
  </si>
  <si>
    <t>HIPA150</t>
  </si>
  <si>
    <t>HIPA200</t>
  </si>
  <si>
    <t>HIPA300</t>
  </si>
  <si>
    <t>HIPA400</t>
  </si>
  <si>
    <t>G. Mitchell Chauffage &amp; Cie Ltée</t>
  </si>
  <si>
    <t>Modine</t>
  </si>
  <si>
    <t>Effinity 93</t>
  </si>
  <si>
    <t>BTC 215</t>
  </si>
  <si>
    <t>1:1</t>
  </si>
  <si>
    <t>ON/OFF</t>
  </si>
  <si>
    <t>BTC 260</t>
  </si>
  <si>
    <t>BTC 310</t>
  </si>
  <si>
    <t>PTC 110</t>
  </si>
  <si>
    <t>PTC 135</t>
  </si>
  <si>
    <t>PTC 155</t>
  </si>
  <si>
    <t>PTC 180</t>
  </si>
  <si>
    <t>PTC 215</t>
  </si>
  <si>
    <t>PTC 260</t>
  </si>
  <si>
    <t>PTC 310</t>
  </si>
  <si>
    <t>PTC 55</t>
  </si>
  <si>
    <t>PTC 65</t>
  </si>
  <si>
    <t>PTC 85</t>
  </si>
  <si>
    <t>Groupe Master</t>
  </si>
  <si>
    <t>Nortek</t>
  </si>
  <si>
    <t>Reznor</t>
  </si>
  <si>
    <t>UEZ110</t>
  </si>
  <si>
    <t>par stages</t>
  </si>
  <si>
    <t>UEZ130</t>
  </si>
  <si>
    <t>UEZ180</t>
  </si>
  <si>
    <t>UEZ260</t>
  </si>
  <si>
    <t>UEZ310</t>
  </si>
  <si>
    <t>UEZ55</t>
  </si>
  <si>
    <t>UEZ85</t>
  </si>
  <si>
    <t>Groupe Master Inc</t>
  </si>
  <si>
    <t>UEAS-130</t>
  </si>
  <si>
    <t>2:1</t>
  </si>
  <si>
    <t>UEAS-180</t>
  </si>
  <si>
    <t>UEAS-260</t>
  </si>
  <si>
    <t>UEAS-310</t>
  </si>
  <si>
    <t>Slant/Fin Corporation</t>
  </si>
  <si>
    <t>VGH-100-CH</t>
  </si>
  <si>
    <t>5:1</t>
  </si>
  <si>
    <t>VGH-120-CH</t>
  </si>
  <si>
    <t>VGH-150-CH</t>
  </si>
  <si>
    <t>VGH-150-CO</t>
  </si>
  <si>
    <t>VGH-180-CH</t>
  </si>
  <si>
    <t>VGH-200-CO</t>
  </si>
  <si>
    <t>VGH-299-CH</t>
  </si>
  <si>
    <t>VGH-399-CH</t>
  </si>
  <si>
    <t>VGH-500-CH</t>
  </si>
  <si>
    <t>VGH-80-CH</t>
  </si>
  <si>
    <t>VGH-90-CO</t>
  </si>
  <si>
    <t>King Heating Products Inc</t>
  </si>
  <si>
    <t>Winterwarm B.V.</t>
  </si>
  <si>
    <t>Eco-King</t>
  </si>
  <si>
    <t>HR 115</t>
  </si>
  <si>
    <t>HR 150</t>
  </si>
  <si>
    <t>HR 190</t>
  </si>
  <si>
    <t>HR 230</t>
  </si>
  <si>
    <t>HR 50</t>
  </si>
  <si>
    <t>+</t>
  </si>
  <si>
    <r>
      <t>m</t>
    </r>
    <r>
      <rPr>
        <vertAlign val="superscript"/>
        <sz val="11"/>
        <color theme="1"/>
        <rFont val="Calibri"/>
        <family val="2"/>
        <scheme val="minor"/>
      </rPr>
      <t>2</t>
    </r>
  </si>
  <si>
    <t>Conversion</t>
  </si>
  <si>
    <t>Prix référence GN</t>
  </si>
  <si>
    <t>$/m3</t>
  </si>
  <si>
    <t>$/GJ</t>
  </si>
  <si>
    <t>Méthode actuelle (Test 0)</t>
  </si>
  <si>
    <t>Test 1</t>
  </si>
  <si>
    <t>Test 2</t>
  </si>
  <si>
    <t>Test 3</t>
  </si>
  <si>
    <t>Test 4</t>
  </si>
  <si>
    <t>Fixe</t>
  </si>
  <si>
    <t>Variable</t>
  </si>
  <si>
    <t>Surcoût moyens ($)</t>
  </si>
  <si>
    <t>Année financière</t>
  </si>
  <si>
    <t>Numéro dossier</t>
  </si>
  <si>
    <t>Nombres appareils installés</t>
  </si>
  <si>
    <t>Capacité (BTU)</t>
  </si>
  <si>
    <t>Économies par appareil (m3)</t>
  </si>
  <si>
    <t>Economies totales (m3)</t>
  </si>
  <si>
    <t>Surcoût moyens de l'équipement ($)</t>
  </si>
  <si>
    <t>Surcoût moyen de l'installation ($)</t>
  </si>
  <si>
    <t>Surcoût par appareil ($)</t>
  </si>
  <si>
    <t>Surcoût total ($)</t>
  </si>
  <si>
    <t>AF accordée ($)</t>
  </si>
  <si>
    <t>AF 0 ($)</t>
  </si>
  <si>
    <t>AF 0 par appareil ($)</t>
  </si>
  <si>
    <t>Couverture 0 (%)</t>
  </si>
  <si>
    <t>Couverture * nb appareils 0</t>
  </si>
  <si>
    <t>AF 1 ($)</t>
  </si>
  <si>
    <t>AF 1 par appareil ($)</t>
  </si>
  <si>
    <t>Couverture 1 (%)</t>
  </si>
  <si>
    <t>Couverture * nb appareils 1</t>
  </si>
  <si>
    <t>AF 2 ($)</t>
  </si>
  <si>
    <t>AF 2 par appareil ($)</t>
  </si>
  <si>
    <t>Couverture 2 (%)</t>
  </si>
  <si>
    <t>Couverture * nb appareils 2</t>
  </si>
  <si>
    <t>AF 3 ($)</t>
  </si>
  <si>
    <t>AF 3 par appareil ($)</t>
  </si>
  <si>
    <t>Couverture 3 (%)</t>
  </si>
  <si>
    <t>Couverture * nb appareils 3</t>
  </si>
  <si>
    <t>AF 4 ($)</t>
  </si>
  <si>
    <t>AF 4 par appareil  ($)</t>
  </si>
  <si>
    <t>Couverture * nb appareils 4</t>
  </si>
  <si>
    <t>Couverture 4 (%)</t>
  </si>
  <si>
    <t>2019-2020</t>
  </si>
  <si>
    <t>00057806</t>
  </si>
  <si>
    <t>00066024</t>
  </si>
  <si>
    <t>00046984</t>
  </si>
  <si>
    <t>00059882</t>
  </si>
  <si>
    <t>00058454</t>
  </si>
  <si>
    <t>00048468</t>
  </si>
  <si>
    <t>00062063</t>
  </si>
  <si>
    <t>00052549</t>
  </si>
  <si>
    <t>00049716</t>
  </si>
  <si>
    <t>00043185</t>
  </si>
  <si>
    <t>S.O.</t>
  </si>
  <si>
    <t>00045083</t>
  </si>
  <si>
    <t>00062341</t>
  </si>
  <si>
    <t>00044815</t>
  </si>
  <si>
    <t>00056845</t>
  </si>
  <si>
    <t>00041207</t>
  </si>
  <si>
    <t>00057965</t>
  </si>
  <si>
    <t>00046181</t>
  </si>
  <si>
    <t>00049346</t>
  </si>
  <si>
    <t>00068717</t>
  </si>
  <si>
    <t>00055273</t>
  </si>
  <si>
    <t>00046269</t>
  </si>
  <si>
    <t>00044363</t>
  </si>
  <si>
    <t>00051226</t>
  </si>
  <si>
    <t>00051232</t>
  </si>
  <si>
    <t>00041992</t>
  </si>
  <si>
    <t>00041792</t>
  </si>
  <si>
    <t>00041786</t>
  </si>
  <si>
    <t>00048902</t>
  </si>
  <si>
    <t>2020-2021</t>
  </si>
  <si>
    <t>00075209</t>
  </si>
  <si>
    <t>00068933</t>
  </si>
  <si>
    <t>00069273</t>
  </si>
  <si>
    <t>00042222</t>
  </si>
  <si>
    <t>00071781</t>
  </si>
  <si>
    <t>00064088</t>
  </si>
  <si>
    <t>00068911</t>
  </si>
  <si>
    <t>00077146</t>
  </si>
  <si>
    <t>00079699</t>
  </si>
  <si>
    <t>00068985</t>
  </si>
  <si>
    <t>00069170</t>
  </si>
  <si>
    <t>00074345</t>
  </si>
  <si>
    <t>00078538</t>
  </si>
  <si>
    <t>00055725</t>
  </si>
  <si>
    <t>00057419</t>
  </si>
  <si>
    <t>00069380</t>
  </si>
  <si>
    <t>00069369</t>
  </si>
  <si>
    <t>00053127</t>
  </si>
  <si>
    <t>00071112</t>
  </si>
  <si>
    <t>00069843</t>
  </si>
  <si>
    <t>00069855</t>
  </si>
  <si>
    <t>00072707</t>
  </si>
  <si>
    <t>00073300</t>
  </si>
  <si>
    <t>00072897</t>
  </si>
  <si>
    <t>00055456</t>
  </si>
  <si>
    <t>00084890</t>
  </si>
  <si>
    <t>00076445</t>
  </si>
  <si>
    <t>00073312</t>
  </si>
  <si>
    <t>00045509</t>
  </si>
  <si>
    <t>00075544</t>
  </si>
  <si>
    <t>00074393</t>
  </si>
  <si>
    <t>00072812</t>
  </si>
  <si>
    <t>00070461</t>
  </si>
  <si>
    <t>00077802</t>
  </si>
  <si>
    <t>00070458</t>
  </si>
  <si>
    <t>00059262</t>
  </si>
  <si>
    <t>00072072</t>
  </si>
  <si>
    <t>00083859</t>
  </si>
  <si>
    <t>00084358</t>
  </si>
  <si>
    <t>00084365</t>
  </si>
  <si>
    <t>00084370</t>
  </si>
  <si>
    <t>00070463</t>
  </si>
  <si>
    <t>00083742</t>
  </si>
  <si>
    <t>00081776</t>
  </si>
  <si>
    <t>00085388</t>
  </si>
  <si>
    <t>00079635</t>
  </si>
  <si>
    <t>00076107</t>
  </si>
  <si>
    <t>2021-2022</t>
  </si>
  <si>
    <t>00070421</t>
  </si>
  <si>
    <t>00107035</t>
  </si>
  <si>
    <t>00113839</t>
  </si>
  <si>
    <t>00070419</t>
  </si>
  <si>
    <t>00108514</t>
  </si>
  <si>
    <t>00102015</t>
  </si>
  <si>
    <t>00099001</t>
  </si>
  <si>
    <t>00094633</t>
  </si>
  <si>
    <t>00115800</t>
  </si>
  <si>
    <t>00074307</t>
  </si>
  <si>
    <t>00103553</t>
  </si>
  <si>
    <t>00096945</t>
  </si>
  <si>
    <t>00093469</t>
  </si>
  <si>
    <t>00075743</t>
  </si>
  <si>
    <t>00110250</t>
  </si>
  <si>
    <t>00071362</t>
  </si>
  <si>
    <t>00107579</t>
  </si>
  <si>
    <t>00100889</t>
  </si>
  <si>
    <t>00100885</t>
  </si>
  <si>
    <t>00081175</t>
  </si>
  <si>
    <t>00107287</t>
  </si>
  <si>
    <t>00102693</t>
  </si>
  <si>
    <t>2022-2023</t>
  </si>
  <si>
    <t>00114471</t>
  </si>
  <si>
    <t>00119497</t>
  </si>
  <si>
    <t>00114723</t>
  </si>
  <si>
    <t>00119806</t>
  </si>
  <si>
    <t>00119561</t>
  </si>
  <si>
    <t>00128572</t>
  </si>
  <si>
    <t>00126503</t>
  </si>
  <si>
    <t>00128173</t>
  </si>
  <si>
    <t>00113913</t>
  </si>
  <si>
    <t>00068892</t>
  </si>
  <si>
    <t>00102449</t>
  </si>
  <si>
    <t>00110648</t>
  </si>
  <si>
    <t>2023-2024</t>
  </si>
  <si>
    <t xml:space="preserve">total </t>
  </si>
  <si>
    <t>Économies réelles</t>
  </si>
  <si>
    <t>Économies calculées</t>
  </si>
  <si>
    <t xml:space="preserve">Erreur </t>
  </si>
  <si>
    <t>BTU/h</t>
  </si>
  <si>
    <r>
      <t>Version n</t>
    </r>
    <r>
      <rPr>
        <i/>
        <vertAlign val="superscript"/>
        <sz val="9"/>
        <color theme="1"/>
        <rFont val="Calibri"/>
        <family val="2"/>
        <scheme val="minor"/>
      </rPr>
      <t>o</t>
    </r>
    <r>
      <rPr>
        <i/>
        <sz val="9"/>
        <color theme="1"/>
        <rFont val="Calibri"/>
        <family val="2"/>
        <scheme val="minor"/>
      </rPr>
      <t>1 2025-08</t>
    </r>
  </si>
  <si>
    <t>Unit Heater Energy Savings Calculator</t>
  </si>
  <si>
    <t>User Guide</t>
  </si>
  <si>
    <r>
      <t xml:space="preserve">Objective
</t>
    </r>
    <r>
      <rPr>
        <b/>
        <sz val="11"/>
        <color rgb="FF002855"/>
        <rFont val="Arial"/>
        <family val="2"/>
      </rPr>
      <t xml:space="preserve">
</t>
    </r>
    <r>
      <rPr>
        <sz val="11"/>
        <color rgb="FF002855"/>
        <rFont val="Arial"/>
        <family val="2"/>
      </rPr>
      <t>The “Unit Heater Energy Savings Calculator” developed by Énergir allows users to compare energy savings and associated costs between standard and condensing unit heaters. It also indicates the financial incentives available, which apply only to condensing unit heaters under Énergir’s grant program. The subsidy included in this version of the tool is a base amount of $2,000 plus $5 per kBtu/h.</t>
    </r>
  </si>
  <si>
    <t>Output Data</t>
  </si>
  <si>
    <t>Table 3 highlights the difference between the output values of the two units being compared. There is also an “Estimates” section that provides an overview of the results.</t>
  </si>
  <si>
    <r>
      <rPr>
        <b/>
        <sz val="11"/>
        <color rgb="FF009FDF"/>
        <rFont val="Arial"/>
        <family val="2"/>
      </rPr>
      <t>Sufficient Capacity (Yes/No)</t>
    </r>
    <r>
      <rPr>
        <b/>
        <sz val="11"/>
        <color rgb="FF002855"/>
        <rFont val="Arial"/>
        <family val="2"/>
      </rPr>
      <t xml:space="preserve">
</t>
    </r>
    <r>
      <rPr>
        <sz val="11"/>
        <color rgb="FF002855"/>
        <rFont val="Arial"/>
        <family val="2"/>
      </rPr>
      <t>Sufficient capacity is determined using the “area to be heated” and “type of installation” data to verify whether the capacity of each unit and the number of units are adequate to meet the heating needs of the facility.</t>
    </r>
    <r>
      <rPr>
        <b/>
        <sz val="11"/>
        <color rgb="FF002855"/>
        <rFont val="Arial"/>
        <family val="2"/>
      </rPr>
      <t xml:space="preserve">
</t>
    </r>
    <r>
      <rPr>
        <b/>
        <sz val="11"/>
        <color rgb="FF009FDF"/>
        <rFont val="Arial"/>
        <family val="2"/>
      </rPr>
      <t xml:space="preserve">Total Cost ($)
</t>
    </r>
    <r>
      <rPr>
        <sz val="11"/>
        <color rgb="FF002855"/>
        <rFont val="Arial"/>
        <family val="2"/>
      </rPr>
      <t xml:space="preserve">The total cost represents the equipment acquisition cost, including both materials and installation. The additional cost corresponds to the difference in total costs.
</t>
    </r>
    <r>
      <rPr>
        <b/>
        <sz val="14"/>
        <color rgb="FF002855"/>
        <rFont val="Arial"/>
        <family val="2"/>
      </rPr>
      <t xml:space="preserve">
</t>
    </r>
    <r>
      <rPr>
        <b/>
        <sz val="11"/>
        <color rgb="FF009FDF"/>
        <rFont val="Arial"/>
        <family val="2"/>
      </rPr>
      <t xml:space="preserve">Total Financial Incentive ($)
</t>
    </r>
    <r>
      <rPr>
        <sz val="11"/>
        <color rgb="FF002855"/>
        <rFont val="Arial"/>
        <family val="2"/>
      </rPr>
      <t>The total financial incentive represents the subsidy granted by Énergir for condensing unit heaters under its grant program.</t>
    </r>
    <r>
      <rPr>
        <b/>
        <sz val="11"/>
        <color rgb="FF002855"/>
        <rFont val="Arial"/>
        <family val="2"/>
      </rPr>
      <t xml:space="preserve">
</t>
    </r>
    <r>
      <rPr>
        <b/>
        <sz val="11"/>
        <color rgb="FF009FDF"/>
        <rFont val="Arial"/>
        <family val="2"/>
      </rPr>
      <t>Payback Period (years)</t>
    </r>
    <r>
      <rPr>
        <b/>
        <sz val="14"/>
        <color rgb="FF002855"/>
        <rFont val="Arial"/>
        <family val="2"/>
      </rPr>
      <t xml:space="preserve">
</t>
    </r>
    <r>
      <rPr>
        <sz val="11"/>
        <color rgb="FF002855"/>
        <rFont val="Arial"/>
        <family val="2"/>
      </rPr>
      <t xml:space="preserve">The Payback Period (PBP) is calculated as the additional cost of the unit divided by the annual monetary energy savings.
</t>
    </r>
    <r>
      <rPr>
        <b/>
        <sz val="14"/>
        <color rgb="FF002855"/>
        <rFont val="Arial"/>
        <family val="2"/>
      </rPr>
      <t xml:space="preserve">
</t>
    </r>
    <r>
      <rPr>
        <b/>
        <sz val="11"/>
        <color rgb="FF009FDF"/>
        <rFont val="Arial"/>
        <family val="2"/>
      </rPr>
      <t xml:space="preserve">Annual Energy Consumption Cost ($)
</t>
    </r>
    <r>
      <rPr>
        <sz val="11"/>
        <color rgb="FF002855"/>
        <rFont val="Arial"/>
        <family val="2"/>
      </rPr>
      <t>The total annual energy consumption cost represents the cost for all units combined on a yearly basis. Financial savings correspond to the difference in consumption cost between the two units.</t>
    </r>
    <r>
      <rPr>
        <b/>
        <sz val="11"/>
        <color rgb="FF009FDF"/>
        <rFont val="Arial"/>
        <family val="2"/>
      </rPr>
      <t xml:space="preserve">
Annual Energy Consumption (m³ of natural gas)
</t>
    </r>
    <r>
      <rPr>
        <sz val="11"/>
        <color rgb="FF002060"/>
        <rFont val="Arial"/>
        <family val="2"/>
      </rPr>
      <t>The total energy consumption represents the annual consumption for all units combined. Natural gas savings correspond to the difference in consumption between the two units.</t>
    </r>
    <r>
      <rPr>
        <b/>
        <sz val="11"/>
        <color rgb="FF009FDF"/>
        <rFont val="Arial"/>
        <family val="2"/>
      </rPr>
      <t xml:space="preserve">
Total GHG Emissions (tons of CO₂)
</t>
    </r>
    <r>
      <rPr>
        <sz val="11"/>
        <color rgb="FF002855"/>
        <rFont val="Arial"/>
        <family val="2"/>
      </rPr>
      <t>Total GHG emissions represent the CO₂-equivalent emissions for all units combined on an annual basis. GHG savings correspond to the difference in emissions between the two units.</t>
    </r>
  </si>
  <si>
    <t>Énergir cannot be held responsible for any damages, whether direct or indirect, resulting from the use of the calculator tools. The user remains responsible for ensuring the accuracy of the data they input. The results provided in the calculation spreadsheet are for informational purposes only and should not, under any circumstances, be interpreted as a guarantee of accuracy or as a representation to that effect by Énergir. Énergir, its employees, agents, and representatives cannot be held liable to a client for any discrepancy between this estimate and the actual performance of the client’s equipment.</t>
  </si>
  <si>
    <t>1: This information is based on the unit heater technical data sheet available on Énergir’s website.</t>
  </si>
  <si>
    <t>Calculator - Unit Heater</t>
  </si>
  <si>
    <t>per kBtu/h</t>
  </si>
  <si>
    <t>Current subsidy:</t>
  </si>
  <si>
    <t>Table 1 - Required Data</t>
  </si>
  <si>
    <t>Equipment 1</t>
  </si>
  <si>
    <t>Equipment 2</t>
  </si>
  <si>
    <t>Type of equipment:</t>
  </si>
  <si>
    <t>Number of unit:</t>
  </si>
  <si>
    <t>Unit capacity:</t>
  </si>
  <si>
    <t>Units</t>
  </si>
  <si>
    <t>Table 2 is automatically pre-filled using reference values and assumptions (except for the first two rows). You may use the provided values or replace them with your own data.</t>
  </si>
  <si>
    <t>Table 2 - Optional Data</t>
  </si>
  <si>
    <t>Type of installation:</t>
  </si>
  <si>
    <t>Area to be heated:</t>
  </si>
  <si>
    <t>Annual operating hours per unit:</t>
  </si>
  <si>
    <t>Gas cost:</t>
  </si>
  <si>
    <t>Unit efficiency:</t>
  </si>
  <si>
    <t>Total equipment acquisition cost:</t>
  </si>
  <si>
    <t>Total installation cost:</t>
  </si>
  <si>
    <t>h/year</t>
  </si>
  <si>
    <t>Table 3 - Unit comparison</t>
  </si>
  <si>
    <t>Sufficient total capacity:</t>
  </si>
  <si>
    <t>Total cost:</t>
  </si>
  <si>
    <t>Annual energy consumption:</t>
  </si>
  <si>
    <t>Annual energy consumption cost:</t>
  </si>
  <si>
    <r>
      <t>m</t>
    </r>
    <r>
      <rPr>
        <vertAlign val="superscript"/>
        <sz val="10"/>
        <color rgb="FF002060"/>
        <rFont val="Arial"/>
        <family val="2"/>
      </rPr>
      <t>3</t>
    </r>
    <r>
      <rPr>
        <sz val="10"/>
        <color rgb="FF002060"/>
        <rFont val="Arial"/>
        <family val="2"/>
      </rPr>
      <t xml:space="preserve"> of NG/year</t>
    </r>
  </si>
  <si>
    <t>$/year</t>
  </si>
  <si>
    <r>
      <t>m</t>
    </r>
    <r>
      <rPr>
        <vertAlign val="superscript"/>
        <sz val="11"/>
        <color rgb="FF002855"/>
        <rFont val="Calibri"/>
        <family val="2"/>
        <scheme val="minor"/>
      </rPr>
      <t>3</t>
    </r>
    <r>
      <rPr>
        <sz val="11"/>
        <color rgb="FF002855"/>
        <rFont val="Calibri"/>
        <family val="2"/>
        <scheme val="minor"/>
      </rPr>
      <t>/year</t>
    </r>
  </si>
  <si>
    <r>
      <t>tons of CO</t>
    </r>
    <r>
      <rPr>
        <vertAlign val="subscript"/>
        <sz val="11"/>
        <color rgb="FF002855"/>
        <rFont val="Calibri"/>
        <family val="2"/>
        <scheme val="minor"/>
      </rPr>
      <t>2</t>
    </r>
    <r>
      <rPr>
        <sz val="11"/>
        <color rgb="FF002855"/>
        <rFont val="Calibri"/>
        <family val="2"/>
        <scheme val="minor"/>
      </rPr>
      <t>/year</t>
    </r>
  </si>
  <si>
    <t>Natural gas</t>
  </si>
  <si>
    <t>Monetary</t>
  </si>
  <si>
    <t>GHG avoided</t>
  </si>
  <si>
    <t>Estimates</t>
  </si>
  <si>
    <t>Annual Savings</t>
  </si>
  <si>
    <t>Financial Incentive</t>
  </si>
  <si>
    <t>Additional Cost</t>
  </si>
  <si>
    <t>Using condensing unit heater(s) instead of standard ones results in the following additional costs:</t>
  </si>
  <si>
    <t>Additional cost, including financial incentive:</t>
  </si>
  <si>
    <t>Additional cost, excluding financial incentive:</t>
  </si>
  <si>
    <t>Payback Period (PBP)</t>
  </si>
  <si>
    <t>PBP including financial incentive:</t>
  </si>
  <si>
    <t>PBP excluding financial incentive:</t>
  </si>
  <si>
    <t>year(s)</t>
  </si>
  <si>
    <t>&lt; select &gt;</t>
  </si>
  <si>
    <t>ft2</t>
  </si>
  <si>
    <r>
      <t>ft</t>
    </r>
    <r>
      <rPr>
        <vertAlign val="superscript"/>
        <sz val="11"/>
        <color theme="1"/>
        <rFont val="Calibri"/>
        <family val="2"/>
        <scheme val="minor"/>
      </rPr>
      <t>2</t>
    </r>
  </si>
  <si>
    <t>Condensing</t>
  </si>
  <si>
    <t>Warehouse</t>
  </si>
  <si>
    <t>Mechanical Workshop</t>
  </si>
  <si>
    <r>
      <t xml:space="preserve">Input Data
</t>
    </r>
    <r>
      <rPr>
        <b/>
        <sz val="11"/>
        <color rgb="FF002855"/>
        <rFont val="Arial"/>
        <family val="2"/>
      </rPr>
      <t xml:space="preserve">
</t>
    </r>
    <r>
      <rPr>
        <sz val="11"/>
        <color rgb="FF002855"/>
        <rFont val="Arial"/>
        <family val="2"/>
      </rPr>
      <t xml:space="preserve">The calculator’s input parameters are divided into two sections: required data (Table 1) and optional data (Table 2). The values in Table 2 are pre-filled when the calculator is opened. However, even if a field is left blank, the calculator relies on reference values drawn from databases and assumptions detailed later on. Two columns are provided in the input data to allow comparison between two unit heaters (e.g., a standard unit heater versus a condensing unit heater). When more than one unit is entered in the “number of units” field, the optional data reflects </t>
    </r>
    <r>
      <rPr>
        <b/>
        <sz val="11"/>
        <color rgb="FF002855"/>
        <rFont val="Arial"/>
        <family val="2"/>
      </rPr>
      <t>the average across all units</t>
    </r>
    <r>
      <rPr>
        <sz val="11"/>
        <color rgb="FF002855"/>
        <rFont val="Arial"/>
        <family val="2"/>
      </rPr>
      <t xml:space="preserve">, except for the total equipment acquisition cost and total installation cost, which apply to </t>
    </r>
    <r>
      <rPr>
        <b/>
        <sz val="11"/>
        <color rgb="FF002855"/>
        <rFont val="Arial"/>
        <family val="2"/>
      </rPr>
      <t>the entire set of units</t>
    </r>
    <r>
      <rPr>
        <sz val="11"/>
        <color rgb="FF002855"/>
        <rFont val="Arial"/>
        <family val="2"/>
      </rPr>
      <t xml:space="preserve">.
</t>
    </r>
    <r>
      <rPr>
        <b/>
        <sz val="14"/>
        <color rgb="FF002855"/>
        <rFont val="Arial"/>
        <family val="2"/>
      </rPr>
      <t xml:space="preserve">
</t>
    </r>
    <r>
      <rPr>
        <b/>
        <sz val="11"/>
        <color rgb="FF009FDF"/>
        <rFont val="Arial"/>
        <family val="2"/>
      </rPr>
      <t>Required Data</t>
    </r>
    <r>
      <rPr>
        <b/>
        <sz val="11"/>
        <color rgb="FF002855"/>
        <rFont val="Arial"/>
        <family val="2"/>
      </rPr>
      <t xml:space="preserve">
</t>
    </r>
    <r>
      <rPr>
        <sz val="11"/>
        <color rgb="FF002855"/>
        <rFont val="Arial"/>
        <family val="2"/>
      </rPr>
      <t xml:space="preserve">- Current subsidy ($ and $ per kBtu/h)
- Type of unit (standard/condensing)
- Unit capacity (Btu/h)
- Number of units
</t>
    </r>
    <r>
      <rPr>
        <b/>
        <sz val="11"/>
        <color rgb="FF002855"/>
        <rFont val="Arial"/>
        <family val="2"/>
      </rPr>
      <t xml:space="preserve">
</t>
    </r>
    <r>
      <rPr>
        <b/>
        <sz val="11"/>
        <color rgb="FF009FDF"/>
        <rFont val="Arial"/>
        <family val="2"/>
      </rPr>
      <t xml:space="preserve">Optional Data
</t>
    </r>
    <r>
      <rPr>
        <sz val="11"/>
        <color rgb="FF002855"/>
        <rFont val="Arial"/>
        <family val="2"/>
      </rPr>
      <t>- Area to be heated (ft² or m²)
- Type of installation (warehouse/mechanical workshop)
- Annual operating hours (h/year)
- Gas cost ($/m³ of natural gas or $/GJ)
- Unit efficiency (%)
- Total equipment acquisition cost ($)
- Total installation cost ($)</t>
    </r>
  </si>
  <si>
    <r>
      <t xml:space="preserve">Assumptions and Reference Values
</t>
    </r>
    <r>
      <rPr>
        <sz val="11"/>
        <color rgb="FF002855"/>
        <rFont val="Arial"/>
        <family val="2"/>
      </rPr>
      <t xml:space="preserve">Points 1 to 7 are values used when optional input data is left blank. The remaining points are values used independently of the input data.
1. The average annual operating time per unit is </t>
    </r>
    <r>
      <rPr>
        <b/>
        <sz val="11"/>
        <color rgb="FF002855"/>
        <rFont val="Arial"/>
        <family val="2"/>
      </rPr>
      <t xml:space="preserve">1,353 hours/year
</t>
    </r>
    <r>
      <rPr>
        <sz val="11"/>
        <color rgb="FF002855"/>
        <rFont val="Arial"/>
        <family val="2"/>
      </rPr>
      <t xml:space="preserve">2. The most recent gas price from </t>
    </r>
    <r>
      <rPr>
        <b/>
        <sz val="11"/>
        <color rgb="FF002855"/>
        <rFont val="Arial"/>
        <family val="2"/>
      </rPr>
      <t>Énergir’s website</t>
    </r>
    <r>
      <rPr>
        <sz val="11"/>
        <color rgb="FF002855"/>
        <rFont val="Arial"/>
        <family val="2"/>
      </rPr>
      <t xml:space="preserve"> is automatically generated in the calculator
3. The lifespan of a standard or condensing unit heater is </t>
    </r>
    <r>
      <rPr>
        <b/>
        <sz val="11"/>
        <color rgb="FF002855"/>
        <rFont val="Arial"/>
        <family val="2"/>
      </rPr>
      <t xml:space="preserve">18 years
</t>
    </r>
    <r>
      <rPr>
        <sz val="11"/>
        <color rgb="FF002855"/>
        <rFont val="Arial"/>
        <family val="2"/>
      </rPr>
      <t xml:space="preserve">4. The average efficiency of a standard unit heater is </t>
    </r>
    <r>
      <rPr>
        <b/>
        <sz val="11"/>
        <color rgb="FF002855"/>
        <rFont val="Arial"/>
        <family val="2"/>
      </rPr>
      <t>82%</t>
    </r>
    <r>
      <rPr>
        <sz val="11"/>
        <color rgb="FF002855"/>
        <rFont val="Arial"/>
        <family val="2"/>
      </rPr>
      <t xml:space="preserve">, and </t>
    </r>
    <r>
      <rPr>
        <b/>
        <sz val="11"/>
        <color rgb="FF002855"/>
        <rFont val="Arial"/>
        <family val="2"/>
      </rPr>
      <t>93%</t>
    </r>
    <r>
      <rPr>
        <sz val="11"/>
        <color rgb="FF002855"/>
        <rFont val="Arial"/>
        <family val="2"/>
      </rPr>
      <t xml:space="preserve"> for a condensing unit heater
5. The cost of condensing equipment is calculated using</t>
    </r>
    <r>
      <rPr>
        <b/>
        <sz val="11"/>
        <color rgb="FF002855"/>
        <rFont val="Arial"/>
        <family val="2"/>
      </rPr>
      <t xml:space="preserve"> an equation</t>
    </r>
    <r>
      <rPr>
        <sz val="11"/>
        <color rgb="FF002855"/>
        <rFont val="Arial"/>
        <family val="2"/>
      </rPr>
      <t xml:space="preserve"> derived from Énergir’s internal database
6. The cost of standard equipment is </t>
    </r>
    <r>
      <rPr>
        <b/>
        <sz val="11"/>
        <color rgb="FF002855"/>
        <rFont val="Arial"/>
        <family val="2"/>
      </rPr>
      <t>half the cost</t>
    </r>
    <r>
      <rPr>
        <sz val="11"/>
        <color rgb="FF002855"/>
        <rFont val="Arial"/>
        <family val="2"/>
      </rPr>
      <t xml:space="preserve"> of condensing equipment of the same capacity
7. The average installation cost is </t>
    </r>
    <r>
      <rPr>
        <b/>
        <sz val="11"/>
        <color rgb="FF002855"/>
        <rFont val="Arial"/>
        <family val="2"/>
      </rPr>
      <t>$2,000</t>
    </r>
    <r>
      <rPr>
        <sz val="11"/>
        <color rgb="FF002855"/>
        <rFont val="Arial"/>
        <family val="2"/>
      </rPr>
      <t xml:space="preserve"> for a standard unit heater and </t>
    </r>
    <r>
      <rPr>
        <b/>
        <sz val="11"/>
        <color rgb="FF002855"/>
        <rFont val="Arial"/>
        <family val="2"/>
      </rPr>
      <t>$4,400</t>
    </r>
    <r>
      <rPr>
        <sz val="11"/>
        <color rgb="FF002855"/>
        <rFont val="Arial"/>
        <family val="2"/>
      </rPr>
      <t xml:space="preserve"> for a condensing unit heater
8. The additional installation cost is applied only once, regardless of the number of units
9. The conversion factor used from m³ of natural gas to kg of CO₂ equivalent is </t>
    </r>
    <r>
      <rPr>
        <b/>
        <sz val="11"/>
        <color rgb="FF002855"/>
        <rFont val="Arial"/>
        <family val="2"/>
      </rPr>
      <t>1.884</t>
    </r>
    <r>
      <rPr>
        <sz val="11"/>
        <color rgb="FF002855"/>
        <rFont val="Arial"/>
        <family val="2"/>
      </rPr>
      <t xml:space="preserve">
10. The required heating power is </t>
    </r>
    <r>
      <rPr>
        <b/>
        <sz val="11"/>
        <color rgb="FF002855"/>
        <rFont val="Arial"/>
        <family val="2"/>
      </rPr>
      <t>30 Btu/h</t>
    </r>
    <r>
      <rPr>
        <sz val="11"/>
        <color rgb="FF002855"/>
        <rFont val="Arial"/>
        <family val="2"/>
      </rPr>
      <t xml:space="preserve"> for warehouses and </t>
    </r>
    <r>
      <rPr>
        <b/>
        <sz val="11"/>
        <color rgb="FF002855"/>
        <rFont val="Arial"/>
        <family val="2"/>
      </rPr>
      <t>50 Btu/h</t>
    </r>
    <r>
      <rPr>
        <sz val="11"/>
        <color rgb="FF002855"/>
        <rFont val="Arial"/>
        <family val="2"/>
      </rPr>
      <t xml:space="preserve"> for mechanical workshops</t>
    </r>
    <r>
      <rPr>
        <b/>
        <vertAlign val="superscript"/>
        <sz val="14"/>
        <color rgb="FF002855"/>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</si>
</sst>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 #,##0.00_)\ &quot;$&quot;_ ;_ * \(#,##0.00\)\ &quot;$&quot;_ ;_ * &quot;-&quot;??_)\ &quot;$&quot;_ ;_ @_ "/>
    <numFmt numFmtId="43" formatCode="_ * #,##0.00_)_ ;_ * \(#,##0.00\)_ ;_ * &quot;-&quot;??_)_ ;_ @_ "/>
    <numFmt numFmtId="164" formatCode="0.0"/>
    <numFmt numFmtId="165" formatCode="_ * #,##0_)\ &quot;$&quot;_ ;_ * \(#,##0\)\ &quot;$&quot;_ ;_ * &quot;-&quot;??_)\ &quot;$&quot;_ ;_ @_ "/>
    <numFmt numFmtId="166" formatCode="0.00000"/>
    <numFmt numFmtId="167" formatCode="0.0%"/>
    <numFmt numFmtId="168" formatCode="#,##0\ &quot;$&quot;"/>
    <numFmt numFmtId="169" formatCode="0.000"/>
    <numFmt numFmtId="170" formatCode="#,##0;#,##0"/>
    <numFmt numFmtId="171" formatCode="#,##0.00;#,##0.00"/>
  </numFmts>
  <fonts count="44" x14ac:knownFonts="1">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color theme="1"/>
      <name val="Arial"/>
      <family val="2"/>
    </font>
    <font>
      <b/>
      <sz val="10"/>
      <color theme="0"/>
      <name val="Arial"/>
      <family val="2"/>
    </font>
    <font>
      <sz val="11"/>
      <color rgb="FFFF0000"/>
      <name val="Calibri"/>
      <family val="2"/>
      <scheme val="minor"/>
    </font>
    <font>
      <b/>
      <sz val="9"/>
      <color indexed="81"/>
      <name val="Tahoma"/>
      <family val="2"/>
    </font>
    <font>
      <sz val="9"/>
      <color indexed="81"/>
      <name val="Tahoma"/>
      <family val="2"/>
    </font>
    <font>
      <b/>
      <sz val="12"/>
      <color theme="1"/>
      <name val="Calibri"/>
      <family val="2"/>
      <scheme val="minor"/>
    </font>
    <font>
      <sz val="9"/>
      <color rgb="FF002060"/>
      <name val="Arial"/>
      <family val="2"/>
    </font>
    <font>
      <sz val="10"/>
      <color rgb="FF002060"/>
      <name val="Arial"/>
      <family val="2"/>
    </font>
    <font>
      <vertAlign val="superscript"/>
      <sz val="10"/>
      <color rgb="FF002060"/>
      <name val="Arial"/>
      <family val="2"/>
    </font>
    <font>
      <b/>
      <sz val="16"/>
      <color rgb="FF002060"/>
      <name val="Arial"/>
      <family val="2"/>
    </font>
    <font>
      <b/>
      <sz val="10"/>
      <color rgb="FF002060"/>
      <name val="Arial"/>
      <family val="2"/>
    </font>
    <font>
      <b/>
      <sz val="10"/>
      <color theme="1"/>
      <name val="Arial"/>
      <family val="2"/>
    </font>
    <font>
      <b/>
      <sz val="11"/>
      <color rgb="FF002060"/>
      <name val="Calibri"/>
      <family val="2"/>
      <scheme val="minor"/>
    </font>
    <font>
      <b/>
      <sz val="10"/>
      <color theme="3"/>
      <name val="Arial"/>
      <family val="2"/>
    </font>
    <font>
      <b/>
      <sz val="16"/>
      <color rgb="FF009FDF"/>
      <name val="Calibri"/>
      <family val="2"/>
      <scheme val="minor"/>
    </font>
    <font>
      <b/>
      <sz val="20"/>
      <color rgb="FF002855"/>
      <name val="Arial"/>
      <family val="2"/>
    </font>
    <font>
      <b/>
      <sz val="14"/>
      <color rgb="FF002855"/>
      <name val="Arial"/>
      <family val="2"/>
    </font>
    <font>
      <b/>
      <sz val="10"/>
      <color rgb="FF002855"/>
      <name val="Arial"/>
      <family val="2"/>
    </font>
    <font>
      <b/>
      <sz val="11"/>
      <color rgb="FF002855"/>
      <name val="Arial"/>
      <family val="2"/>
    </font>
    <font>
      <sz val="11"/>
      <color rgb="FF002855"/>
      <name val="Arial"/>
      <family val="2"/>
    </font>
    <font>
      <b/>
      <sz val="11"/>
      <color rgb="FF009FDF"/>
      <name val="Arial"/>
      <family val="2"/>
    </font>
    <font>
      <i/>
      <sz val="9"/>
      <color rgb="FF009FDF"/>
      <name val="Arial"/>
      <family val="2"/>
    </font>
    <font>
      <i/>
      <sz val="9"/>
      <color theme="1"/>
      <name val="Calibri"/>
      <family val="2"/>
      <scheme val="minor"/>
    </font>
    <font>
      <i/>
      <vertAlign val="superscript"/>
      <sz val="9"/>
      <color theme="1"/>
      <name val="Calibri"/>
      <family val="2"/>
      <scheme val="minor"/>
    </font>
    <font>
      <b/>
      <sz val="14"/>
      <color rgb="FF002060"/>
      <name val="Arial"/>
      <family val="2"/>
    </font>
    <font>
      <sz val="11"/>
      <color rgb="FF002060"/>
      <name val="Arial"/>
      <family val="2"/>
    </font>
    <font>
      <sz val="9"/>
      <color rgb="FF002855"/>
      <name val="Arial"/>
      <family val="2"/>
    </font>
    <font>
      <vertAlign val="superscript"/>
      <sz val="11"/>
      <color theme="1"/>
      <name val="Calibri"/>
      <family val="2"/>
      <scheme val="minor"/>
    </font>
    <font>
      <sz val="11"/>
      <color theme="0"/>
      <name val="Calibri"/>
      <family val="2"/>
      <scheme val="minor"/>
    </font>
    <font>
      <b/>
      <sz val="18"/>
      <color theme="0"/>
      <name val="Calibri"/>
      <family val="2"/>
      <scheme val="minor"/>
    </font>
    <font>
      <sz val="11"/>
      <color rgb="FF002855"/>
      <name val="Calibri"/>
      <family val="2"/>
      <scheme val="minor"/>
    </font>
    <font>
      <b/>
      <sz val="18"/>
      <color rgb="FF002855"/>
      <name val="Calibri"/>
      <family val="2"/>
      <scheme val="minor"/>
    </font>
    <font>
      <b/>
      <sz val="11"/>
      <color rgb="FF002855"/>
      <name val="Calibri"/>
      <family val="2"/>
      <scheme val="minor"/>
    </font>
    <font>
      <vertAlign val="superscript"/>
      <sz val="11"/>
      <color rgb="FF002855"/>
      <name val="Calibri"/>
      <family val="2"/>
      <scheme val="minor"/>
    </font>
    <font>
      <vertAlign val="subscript"/>
      <sz val="11"/>
      <color rgb="FF002855"/>
      <name val="Calibri"/>
      <family val="2"/>
      <scheme val="minor"/>
    </font>
    <font>
      <b/>
      <sz val="11"/>
      <name val="Calibri"/>
      <family val="2"/>
      <scheme val="minor"/>
    </font>
    <font>
      <u/>
      <sz val="11"/>
      <color theme="10"/>
      <name val="Calibri"/>
      <family val="2"/>
      <scheme val="minor"/>
    </font>
    <font>
      <b/>
      <i/>
      <sz val="11"/>
      <color rgb="FF002060"/>
      <name val="Calibri"/>
      <family val="2"/>
      <scheme val="minor"/>
    </font>
    <font>
      <b/>
      <vertAlign val="superscript"/>
      <sz val="14"/>
      <color rgb="FF002855"/>
      <name val="Arial"/>
      <family val="2"/>
    </font>
  </fonts>
  <fills count="22">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bgColor indexed="64"/>
      </patternFill>
    </fill>
    <fill>
      <patternFill patternType="solid">
        <fgColor theme="5" tint="0.59999389629810485"/>
        <bgColor indexed="64"/>
      </patternFill>
    </fill>
    <fill>
      <patternFill patternType="solid">
        <fgColor theme="2"/>
        <bgColor indexed="64"/>
      </patternFill>
    </fill>
    <fill>
      <patternFill patternType="solid">
        <fgColor theme="0" tint="-0.34998626667073579"/>
        <bgColor indexed="64"/>
      </patternFill>
    </fill>
    <fill>
      <patternFill patternType="solid">
        <fgColor rgb="FF002060"/>
        <bgColor indexed="64"/>
      </patternFill>
    </fill>
    <fill>
      <patternFill patternType="solid">
        <fgColor rgb="FFE7E6E6"/>
        <bgColor indexed="64"/>
      </patternFill>
    </fill>
    <fill>
      <patternFill patternType="solid">
        <fgColor theme="6"/>
        <bgColor indexed="64"/>
      </patternFill>
    </fill>
    <fill>
      <patternFill patternType="solid">
        <fgColor theme="4"/>
        <bgColor indexed="64"/>
      </patternFill>
    </fill>
    <fill>
      <patternFill patternType="solid">
        <fgColor rgb="FFDAEEF4"/>
        <bgColor indexed="64"/>
      </patternFill>
    </fill>
    <fill>
      <patternFill patternType="solid">
        <fgColor rgb="FFFCC8F8"/>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theme="9" tint="0.79998168889431442"/>
      </patternFill>
    </fill>
  </fills>
  <borders count="35">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B0F0"/>
      </left>
      <right style="medium">
        <color rgb="FF00B0F0"/>
      </right>
      <top style="medium">
        <color rgb="FF00B0F0"/>
      </top>
      <bottom style="medium">
        <color rgb="FF00B0F0"/>
      </bottom>
      <diagonal/>
    </border>
    <border>
      <left style="medium">
        <color rgb="FF009FDF"/>
      </left>
      <right style="medium">
        <color rgb="FF009FDF"/>
      </right>
      <top style="medium">
        <color rgb="FF009FDF"/>
      </top>
      <bottom style="medium">
        <color rgb="FF009FDF"/>
      </bottom>
      <diagonal/>
    </border>
    <border>
      <left style="medium">
        <color theme="1"/>
      </left>
      <right style="medium">
        <color indexed="64"/>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medium">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medium">
        <color indexed="64"/>
      </right>
      <top style="thin">
        <color indexed="64"/>
      </top>
      <bottom style="medium">
        <color theme="1"/>
      </bottom>
      <diagonal/>
    </border>
    <border>
      <left/>
      <right style="medium">
        <color theme="1"/>
      </right>
      <top style="thin">
        <color indexed="64"/>
      </top>
      <bottom style="medium">
        <color theme="1"/>
      </bottom>
      <diagonal/>
    </border>
    <border>
      <left style="medium">
        <color rgb="FF009FDF"/>
      </left>
      <right/>
      <top style="medium">
        <color rgb="FF009FDF"/>
      </top>
      <bottom style="medium">
        <color rgb="FF009FDF"/>
      </bottom>
      <diagonal/>
    </border>
    <border>
      <left/>
      <right/>
      <top style="medium">
        <color rgb="FF009FDF"/>
      </top>
      <bottom style="medium">
        <color rgb="FF009FDF"/>
      </bottom>
      <diagonal/>
    </border>
    <border>
      <left/>
      <right style="medium">
        <color rgb="FF009FDF"/>
      </right>
      <top style="medium">
        <color rgb="FF009FDF"/>
      </top>
      <bottom style="medium">
        <color rgb="FF009FD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41" fillId="0" borderId="0" applyNumberFormat="0" applyFill="0" applyBorder="0" applyAlignment="0" applyProtection="0"/>
  </cellStyleXfs>
  <cellXfs count="232">
    <xf numFmtId="0" fontId="0" fillId="0" borderId="0" xfId="0"/>
    <xf numFmtId="49" fontId="0" fillId="4" borderId="7" xfId="0" applyNumberFormat="1" applyFill="1" applyBorder="1" applyAlignment="1">
      <alignment horizontal="left"/>
    </xf>
    <xf numFmtId="49" fontId="0" fillId="0" borderId="7" xfId="0" applyNumberFormat="1" applyBorder="1" applyAlignment="1">
      <alignment horizontal="left"/>
    </xf>
    <xf numFmtId="0" fontId="0" fillId="4" borderId="7" xfId="0" applyFill="1" applyBorder="1" applyAlignment="1">
      <alignment horizontal="left"/>
    </xf>
    <xf numFmtId="0" fontId="0" fillId="0" borderId="7" xfId="0" applyBorder="1" applyAlignment="1">
      <alignment horizontal="left"/>
    </xf>
    <xf numFmtId="3" fontId="0" fillId="4" borderId="7" xfId="2" applyNumberFormat="1" applyFont="1" applyFill="1" applyBorder="1" applyAlignment="1">
      <alignment horizontal="right"/>
    </xf>
    <xf numFmtId="167" fontId="0" fillId="4" borderId="7" xfId="1" applyNumberFormat="1" applyFont="1" applyFill="1" applyBorder="1"/>
    <xf numFmtId="9" fontId="7" fillId="4" borderId="7" xfId="1" applyFont="1" applyFill="1" applyBorder="1" applyAlignment="1">
      <alignment horizontal="left"/>
    </xf>
    <xf numFmtId="0" fontId="7" fillId="4" borderId="7" xfId="0" applyFont="1" applyFill="1" applyBorder="1" applyAlignment="1">
      <alignment horizontal="left"/>
    </xf>
    <xf numFmtId="165" fontId="7" fillId="4" borderId="7" xfId="2" applyNumberFormat="1" applyFont="1" applyFill="1" applyBorder="1" applyAlignment="1">
      <alignment horizontal="left"/>
    </xf>
    <xf numFmtId="3" fontId="0" fillId="0" borderId="7" xfId="2" applyNumberFormat="1" applyFont="1" applyBorder="1" applyAlignment="1">
      <alignment horizontal="right"/>
    </xf>
    <xf numFmtId="167" fontId="0" fillId="0" borderId="7" xfId="1" applyNumberFormat="1" applyFont="1" applyBorder="1"/>
    <xf numFmtId="9" fontId="7" fillId="0" borderId="7" xfId="1" applyFont="1" applyBorder="1" applyAlignment="1">
      <alignment horizontal="left"/>
    </xf>
    <xf numFmtId="0" fontId="7" fillId="0" borderId="7" xfId="0" applyFont="1" applyBorder="1" applyAlignment="1">
      <alignment horizontal="left"/>
    </xf>
    <xf numFmtId="165" fontId="7" fillId="0" borderId="7" xfId="2" applyNumberFormat="1" applyFont="1" applyBorder="1" applyAlignment="1">
      <alignment horizontal="left"/>
    </xf>
    <xf numFmtId="3" fontId="0" fillId="4" borderId="7" xfId="0" applyNumberFormat="1" applyFill="1" applyBorder="1" applyAlignment="1">
      <alignment horizontal="right"/>
    </xf>
    <xf numFmtId="167" fontId="0" fillId="4" borderId="7" xfId="1" applyNumberFormat="1" applyFont="1" applyFill="1" applyBorder="1" applyAlignment="1">
      <alignment horizontal="right"/>
    </xf>
    <xf numFmtId="3" fontId="0" fillId="4" borderId="7" xfId="2" applyNumberFormat="1" applyFont="1" applyFill="1" applyBorder="1" applyAlignment="1">
      <alignment horizontal="left"/>
    </xf>
    <xf numFmtId="9" fontId="7" fillId="4" borderId="7" xfId="0" applyNumberFormat="1" applyFont="1" applyFill="1" applyBorder="1" applyAlignment="1">
      <alignment horizontal="left"/>
    </xf>
    <xf numFmtId="3" fontId="0" fillId="0" borderId="7" xfId="0" applyNumberFormat="1" applyBorder="1" applyAlignment="1">
      <alignment horizontal="right"/>
    </xf>
    <xf numFmtId="167" fontId="0" fillId="0" borderId="7" xfId="1" applyNumberFormat="1" applyFont="1" applyBorder="1" applyAlignment="1">
      <alignment horizontal="right"/>
    </xf>
    <xf numFmtId="3" fontId="0" fillId="0" borderId="7" xfId="2" applyNumberFormat="1" applyFont="1" applyBorder="1" applyAlignment="1">
      <alignment horizontal="left"/>
    </xf>
    <xf numFmtId="9" fontId="7" fillId="0" borderId="7" xfId="0" applyNumberFormat="1" applyFont="1" applyBorder="1" applyAlignment="1">
      <alignment horizontal="left"/>
    </xf>
    <xf numFmtId="0" fontId="1" fillId="5" borderId="7" xfId="0" applyFont="1" applyFill="1" applyBorder="1" applyAlignment="1">
      <alignment horizontal="center" vertical="center" wrapText="1"/>
    </xf>
    <xf numFmtId="0" fontId="1" fillId="5" borderId="7" xfId="0" applyFont="1" applyFill="1" applyBorder="1" applyAlignment="1">
      <alignment horizontal="center" vertical="center"/>
    </xf>
    <xf numFmtId="0" fontId="1" fillId="5" borderId="0" xfId="0" applyFont="1" applyFill="1" applyAlignment="1">
      <alignment horizontal="center" vertical="center" wrapText="1"/>
    </xf>
    <xf numFmtId="165" fontId="0" fillId="0" borderId="0" xfId="0" applyNumberFormat="1"/>
    <xf numFmtId="0" fontId="3" fillId="0" borderId="0" xfId="0" applyFont="1"/>
    <xf numFmtId="0" fontId="0" fillId="0" borderId="9" xfId="0" applyBorder="1"/>
    <xf numFmtId="1" fontId="0" fillId="0" borderId="9" xfId="0" applyNumberFormat="1" applyBorder="1"/>
    <xf numFmtId="1" fontId="0" fillId="0" borderId="10" xfId="0" applyNumberFormat="1" applyBorder="1"/>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0" fillId="6" borderId="0" xfId="0" applyFill="1"/>
    <xf numFmtId="0" fontId="0" fillId="0" borderId="0" xfId="0" applyAlignment="1">
      <alignment vertical="top" wrapText="1"/>
    </xf>
    <xf numFmtId="2" fontId="0" fillId="0" borderId="0" xfId="0" applyNumberFormat="1"/>
    <xf numFmtId="0" fontId="10" fillId="0" borderId="0" xfId="0" applyFont="1"/>
    <xf numFmtId="0" fontId="3" fillId="6" borderId="8" xfId="0" applyFont="1" applyFill="1" applyBorder="1" applyAlignment="1">
      <alignment horizontal="right"/>
    </xf>
    <xf numFmtId="0" fontId="0" fillId="9" borderId="0" xfId="0" applyFill="1"/>
    <xf numFmtId="0" fontId="0" fillId="0" borderId="0" xfId="0" applyAlignment="1">
      <alignment horizontal="left"/>
    </xf>
    <xf numFmtId="0" fontId="0" fillId="9" borderId="0" xfId="0" applyFill="1" applyAlignment="1">
      <alignment horizontal="left"/>
    </xf>
    <xf numFmtId="0" fontId="11" fillId="0" borderId="0" xfId="0" applyFont="1" applyAlignment="1">
      <alignment horizontal="left"/>
    </xf>
    <xf numFmtId="0" fontId="5" fillId="6" borderId="0" xfId="0" applyFont="1" applyFill="1" applyAlignment="1">
      <alignment vertical="center"/>
    </xf>
    <xf numFmtId="0" fontId="12" fillId="6" borderId="0" xfId="0" applyFont="1" applyFill="1" applyAlignment="1">
      <alignment vertical="center"/>
    </xf>
    <xf numFmtId="0" fontId="5" fillId="6" borderId="1" xfId="0" applyFont="1" applyFill="1" applyBorder="1" applyAlignment="1">
      <alignment vertical="center"/>
    </xf>
    <xf numFmtId="0" fontId="12" fillId="6" borderId="14" xfId="1" applyNumberFormat="1" applyFont="1" applyFill="1" applyBorder="1" applyAlignment="1">
      <alignment horizontal="center" vertical="center"/>
    </xf>
    <xf numFmtId="0" fontId="12" fillId="6" borderId="0" xfId="1" applyNumberFormat="1" applyFont="1" applyFill="1" applyBorder="1" applyAlignment="1">
      <alignment horizontal="center" vertical="center"/>
    </xf>
    <xf numFmtId="0" fontId="4" fillId="0" borderId="0" xfId="0" applyFont="1" applyAlignment="1">
      <alignment horizontal="left"/>
    </xf>
    <xf numFmtId="0" fontId="12" fillId="0" borderId="0" xfId="0" applyFont="1" applyAlignment="1">
      <alignment vertical="center"/>
    </xf>
    <xf numFmtId="14" fontId="0" fillId="0" borderId="0" xfId="0" applyNumberFormat="1"/>
    <xf numFmtId="0" fontId="12" fillId="6" borderId="0" xfId="0" applyFont="1" applyFill="1" applyAlignment="1">
      <alignment horizontal="left" vertical="center" indent="1"/>
    </xf>
    <xf numFmtId="168" fontId="12" fillId="6" borderId="0" xfId="2" applyNumberFormat="1" applyFont="1" applyFill="1" applyBorder="1" applyAlignment="1">
      <alignment horizontal="center" vertical="center"/>
    </xf>
    <xf numFmtId="3" fontId="12" fillId="6" borderId="0" xfId="1" applyNumberFormat="1" applyFont="1" applyFill="1" applyBorder="1" applyAlignment="1">
      <alignment horizontal="center" vertical="center"/>
    </xf>
    <xf numFmtId="1" fontId="5" fillId="6" borderId="0" xfId="0" applyNumberFormat="1" applyFont="1" applyFill="1" applyAlignment="1">
      <alignment vertical="center"/>
    </xf>
    <xf numFmtId="9" fontId="12" fillId="6" borderId="0" xfId="1" applyFont="1" applyFill="1" applyBorder="1" applyAlignment="1">
      <alignment horizontal="center" vertical="center"/>
    </xf>
    <xf numFmtId="0" fontId="0" fillId="0" borderId="0" xfId="1" applyNumberFormat="1" applyFont="1"/>
    <xf numFmtId="9" fontId="15" fillId="6" borderId="14" xfId="1" applyFont="1" applyFill="1" applyBorder="1" applyAlignment="1">
      <alignment horizontal="center" vertical="center"/>
    </xf>
    <xf numFmtId="0" fontId="19" fillId="0" borderId="0" xfId="0" applyFont="1"/>
    <xf numFmtId="0" fontId="15" fillId="6" borderId="0" xfId="0" applyFont="1" applyFill="1" applyAlignment="1">
      <alignment horizontal="left" vertical="center" indent="1"/>
    </xf>
    <xf numFmtId="0" fontId="6" fillId="6" borderId="0" xfId="0" applyFont="1" applyFill="1" applyAlignment="1">
      <alignment vertical="center"/>
    </xf>
    <xf numFmtId="0" fontId="20" fillId="0" borderId="0" xfId="0" applyFont="1"/>
    <xf numFmtId="0" fontId="21" fillId="6" borderId="0" xfId="0" applyFont="1" applyFill="1" applyAlignment="1">
      <alignment horizontal="left" vertical="top" wrapText="1"/>
    </xf>
    <xf numFmtId="0" fontId="26" fillId="6" borderId="15" xfId="0" applyFont="1" applyFill="1" applyBorder="1" applyAlignment="1">
      <alignment horizontal="center" vertical="center" wrapText="1"/>
    </xf>
    <xf numFmtId="0" fontId="6" fillId="9" borderId="0" xfId="0" applyFont="1" applyFill="1" applyAlignment="1">
      <alignment horizontal="left" vertical="center"/>
    </xf>
    <xf numFmtId="0" fontId="5" fillId="9" borderId="0" xfId="0" applyFont="1" applyFill="1" applyAlignment="1">
      <alignment vertical="center"/>
    </xf>
    <xf numFmtId="0" fontId="15" fillId="9" borderId="0" xfId="0" applyFont="1" applyFill="1" applyAlignment="1">
      <alignment horizontal="left" vertical="center" indent="1"/>
    </xf>
    <xf numFmtId="0" fontId="12" fillId="9" borderId="0" xfId="0" applyFont="1" applyFill="1" applyAlignment="1">
      <alignment vertical="center"/>
    </xf>
    <xf numFmtId="0" fontId="15" fillId="9" borderId="0" xfId="0" applyFont="1" applyFill="1" applyAlignment="1">
      <alignment vertical="center"/>
    </xf>
    <xf numFmtId="0" fontId="18" fillId="9" borderId="0" xfId="0" applyFont="1" applyFill="1" applyAlignment="1">
      <alignment horizontal="left" vertical="center" indent="1"/>
    </xf>
    <xf numFmtId="0" fontId="17" fillId="9" borderId="0" xfId="0" applyFont="1" applyFill="1" applyAlignment="1">
      <alignment horizontal="left" indent="1"/>
    </xf>
    <xf numFmtId="0" fontId="12" fillId="9" borderId="0" xfId="0" applyFont="1" applyFill="1" applyAlignment="1">
      <alignment horizontal="left" vertical="center" indent="1"/>
    </xf>
    <xf numFmtId="0" fontId="11" fillId="9" borderId="0" xfId="0" applyFont="1" applyFill="1" applyAlignment="1">
      <alignment horizontal="left"/>
    </xf>
    <xf numFmtId="0" fontId="27" fillId="0" borderId="0" xfId="0" applyFont="1"/>
    <xf numFmtId="9" fontId="15" fillId="6" borderId="0" xfId="1" applyFont="1" applyFill="1" applyBorder="1" applyAlignment="1">
      <alignment horizontal="center" vertical="center"/>
    </xf>
    <xf numFmtId="1" fontId="12" fillId="6" borderId="0" xfId="1" applyNumberFormat="1" applyFont="1" applyFill="1" applyBorder="1" applyAlignment="1">
      <alignment horizontal="center" vertical="center"/>
    </xf>
    <xf numFmtId="0" fontId="15" fillId="6" borderId="14" xfId="1" applyNumberFormat="1" applyFont="1" applyFill="1" applyBorder="1" applyAlignment="1">
      <alignment horizontal="center" vertical="center"/>
    </xf>
    <xf numFmtId="0" fontId="15" fillId="6" borderId="0" xfId="1" applyNumberFormat="1" applyFont="1" applyFill="1" applyBorder="1" applyAlignment="1">
      <alignment horizontal="center" vertical="center"/>
    </xf>
    <xf numFmtId="3" fontId="15" fillId="6" borderId="14" xfId="1" applyNumberFormat="1" applyFont="1" applyFill="1" applyBorder="1" applyAlignment="1">
      <alignment horizontal="center" vertical="center"/>
    </xf>
    <xf numFmtId="3" fontId="15" fillId="6" borderId="0" xfId="1" applyNumberFormat="1" applyFont="1" applyFill="1" applyBorder="1" applyAlignment="1">
      <alignment horizontal="center" vertical="center"/>
    </xf>
    <xf numFmtId="0" fontId="3" fillId="7" borderId="16" xfId="0" applyFont="1" applyFill="1" applyBorder="1" applyAlignment="1">
      <alignment horizontal="center"/>
    </xf>
    <xf numFmtId="0" fontId="0" fillId="6" borderId="17" xfId="0" applyFill="1" applyBorder="1"/>
    <xf numFmtId="0" fontId="3" fillId="7" borderId="18" xfId="0" applyFont="1" applyFill="1" applyBorder="1" applyAlignment="1">
      <alignment horizontal="center"/>
    </xf>
    <xf numFmtId="0" fontId="0" fillId="6" borderId="19" xfId="0" applyFill="1" applyBorder="1"/>
    <xf numFmtId="1" fontId="0" fillId="6" borderId="19" xfId="0" applyNumberFormat="1" applyFill="1" applyBorder="1"/>
    <xf numFmtId="0" fontId="3" fillId="7" borderId="20" xfId="0" applyFont="1" applyFill="1" applyBorder="1" applyAlignment="1">
      <alignment horizontal="center"/>
    </xf>
    <xf numFmtId="1" fontId="0" fillId="6" borderId="21" xfId="0" applyNumberFormat="1" applyFill="1" applyBorder="1"/>
    <xf numFmtId="0" fontId="3" fillId="2" borderId="16" xfId="0" applyFont="1" applyFill="1" applyBorder="1" applyAlignment="1">
      <alignment horizontal="center"/>
    </xf>
    <xf numFmtId="0" fontId="0" fillId="0" borderId="17" xfId="0" applyBorder="1" applyAlignment="1">
      <alignment horizontal="right"/>
    </xf>
    <xf numFmtId="0" fontId="3" fillId="2" borderId="18" xfId="0" applyFont="1" applyFill="1" applyBorder="1" applyAlignment="1">
      <alignment horizontal="center"/>
    </xf>
    <xf numFmtId="0" fontId="0" fillId="0" borderId="19" xfId="0" applyBorder="1" applyAlignment="1">
      <alignment horizontal="right"/>
    </xf>
    <xf numFmtId="0" fontId="0" fillId="11" borderId="19" xfId="0" applyFill="1" applyBorder="1" applyAlignment="1">
      <alignment horizontal="right"/>
    </xf>
    <xf numFmtId="0" fontId="0" fillId="8" borderId="19" xfId="0" applyFill="1" applyBorder="1" applyAlignment="1">
      <alignment horizontal="right"/>
    </xf>
    <xf numFmtId="0" fontId="0" fillId="8" borderId="19" xfId="1" applyNumberFormat="1" applyFont="1" applyFill="1" applyBorder="1" applyAlignment="1">
      <alignment horizontal="right"/>
    </xf>
    <xf numFmtId="0" fontId="3" fillId="2" borderId="20" xfId="0" applyFont="1" applyFill="1" applyBorder="1" applyAlignment="1">
      <alignment horizontal="center"/>
    </xf>
    <xf numFmtId="1" fontId="0" fillId="8" borderId="21" xfId="1" applyNumberFormat="1" applyFont="1" applyFill="1" applyBorder="1" applyAlignment="1">
      <alignment horizontal="right"/>
    </xf>
    <xf numFmtId="3" fontId="12" fillId="6" borderId="14" xfId="1" applyNumberFormat="1" applyFont="1" applyFill="1" applyBorder="1" applyAlignment="1">
      <alignment horizontal="center" vertical="center"/>
    </xf>
    <xf numFmtId="169" fontId="12" fillId="6" borderId="14" xfId="1" applyNumberFormat="1" applyFont="1" applyFill="1" applyBorder="1" applyAlignment="1">
      <alignment horizontal="center" vertical="center"/>
    </xf>
    <xf numFmtId="0" fontId="31" fillId="6" borderId="0" xfId="0" applyFont="1" applyFill="1" applyAlignment="1">
      <alignment horizontal="left" vertical="top" wrapText="1"/>
    </xf>
    <xf numFmtId="1" fontId="0" fillId="11" borderId="19" xfId="0" applyNumberFormat="1" applyFill="1" applyBorder="1" applyAlignment="1">
      <alignment horizontal="right"/>
    </xf>
    <xf numFmtId="0" fontId="29" fillId="6" borderId="0" xfId="0" applyFont="1" applyFill="1" applyAlignment="1">
      <alignment horizontal="left" vertical="top"/>
    </xf>
    <xf numFmtId="0" fontId="30" fillId="6" borderId="0" xfId="0" applyFont="1" applyFill="1" applyAlignment="1">
      <alignment horizontal="left" vertical="top" wrapText="1"/>
    </xf>
    <xf numFmtId="0" fontId="24" fillId="6" borderId="0" xfId="0" applyFont="1" applyFill="1" applyAlignment="1">
      <alignment horizontal="left" vertical="top" wrapText="1"/>
    </xf>
    <xf numFmtId="0" fontId="0" fillId="0" borderId="0" xfId="0" applyAlignment="1">
      <alignment vertical="top"/>
    </xf>
    <xf numFmtId="0" fontId="14" fillId="0" borderId="0" xfId="0" applyFont="1" applyAlignment="1">
      <alignment vertical="top"/>
    </xf>
    <xf numFmtId="0" fontId="4" fillId="0" borderId="0" xfId="0" applyFont="1" applyAlignment="1">
      <alignment horizontal="left" vertical="top"/>
    </xf>
    <xf numFmtId="0" fontId="0" fillId="9" borderId="0" xfId="0" applyFill="1" applyAlignment="1">
      <alignment vertical="top"/>
    </xf>
    <xf numFmtId="0" fontId="6" fillId="10" borderId="25" xfId="0" applyFont="1" applyFill="1" applyBorder="1" applyAlignment="1">
      <alignment vertical="center"/>
    </xf>
    <xf numFmtId="0" fontId="6" fillId="10" borderId="26" xfId="0" applyFont="1" applyFill="1" applyBorder="1" applyAlignment="1">
      <alignment vertical="center"/>
    </xf>
    <xf numFmtId="0" fontId="6" fillId="10" borderId="26" xfId="0" applyFont="1" applyFill="1" applyBorder="1" applyAlignment="1">
      <alignment horizontal="center" vertical="center"/>
    </xf>
    <xf numFmtId="0" fontId="6" fillId="10" borderId="8" xfId="0" applyFont="1" applyFill="1" applyBorder="1" applyAlignment="1">
      <alignment horizontal="center" vertical="center"/>
    </xf>
    <xf numFmtId="0" fontId="5" fillId="6" borderId="27" xfId="0" applyFont="1" applyFill="1" applyBorder="1" applyAlignment="1">
      <alignment vertical="center"/>
    </xf>
    <xf numFmtId="0" fontId="5" fillId="6" borderId="28" xfId="0" applyFont="1" applyFill="1" applyBorder="1" applyAlignment="1">
      <alignment vertical="center"/>
    </xf>
    <xf numFmtId="0" fontId="15" fillId="6" borderId="2" xfId="0" applyFont="1" applyFill="1" applyBorder="1" applyAlignment="1">
      <alignment horizontal="left" vertical="center" indent="1"/>
    </xf>
    <xf numFmtId="0" fontId="5" fillId="6" borderId="3" xfId="0" applyFont="1" applyFill="1" applyBorder="1" applyAlignment="1">
      <alignment vertical="center"/>
    </xf>
    <xf numFmtId="0" fontId="16" fillId="6" borderId="2" xfId="0" applyFont="1" applyFill="1" applyBorder="1" applyAlignment="1">
      <alignment vertical="center"/>
    </xf>
    <xf numFmtId="0" fontId="15" fillId="6" borderId="0" xfId="0" applyFont="1" applyFill="1" applyAlignment="1">
      <alignment vertical="center"/>
    </xf>
    <xf numFmtId="0" fontId="12" fillId="6" borderId="3" xfId="0" applyFont="1" applyFill="1" applyBorder="1" applyAlignment="1">
      <alignment horizontal="left" vertical="center" indent="1"/>
    </xf>
    <xf numFmtId="0" fontId="12" fillId="6" borderId="4" xfId="0" applyFont="1" applyFill="1" applyBorder="1" applyAlignment="1">
      <alignment horizontal="left" vertical="center" indent="1"/>
    </xf>
    <xf numFmtId="0" fontId="5" fillId="6" borderId="5" xfId="0" applyFont="1" applyFill="1" applyBorder="1" applyAlignment="1">
      <alignment vertical="center"/>
    </xf>
    <xf numFmtId="1" fontId="12" fillId="6" borderId="5" xfId="1" applyNumberFormat="1" applyFont="1" applyFill="1" applyBorder="1" applyAlignment="1">
      <alignment horizontal="center" vertical="center"/>
    </xf>
    <xf numFmtId="0" fontId="5" fillId="6" borderId="6" xfId="0" applyFont="1" applyFill="1" applyBorder="1" applyAlignment="1">
      <alignment vertical="center"/>
    </xf>
    <xf numFmtId="0" fontId="6" fillId="10" borderId="25" xfId="0" applyFont="1" applyFill="1" applyBorder="1" applyAlignment="1">
      <alignment horizontal="left" vertical="center"/>
    </xf>
    <xf numFmtId="0" fontId="6" fillId="10" borderId="26" xfId="0" applyFont="1" applyFill="1" applyBorder="1" applyAlignment="1">
      <alignment horizontal="left" vertical="center"/>
    </xf>
    <xf numFmtId="0" fontId="15" fillId="6" borderId="2" xfId="0" applyFont="1" applyFill="1" applyBorder="1" applyAlignment="1">
      <alignment vertical="center"/>
    </xf>
    <xf numFmtId="0" fontId="12" fillId="6" borderId="3" xfId="0" applyFont="1" applyFill="1" applyBorder="1" applyAlignment="1">
      <alignment vertical="center"/>
    </xf>
    <xf numFmtId="0" fontId="22" fillId="6" borderId="2" xfId="0" applyFont="1" applyFill="1" applyBorder="1" applyAlignment="1">
      <alignment horizontal="left" vertical="center" indent="1"/>
    </xf>
    <xf numFmtId="0" fontId="17" fillId="0" borderId="2" xfId="0" applyFont="1" applyBorder="1" applyAlignment="1">
      <alignment horizontal="left" indent="1"/>
    </xf>
    <xf numFmtId="0" fontId="5" fillId="6" borderId="4" xfId="0" applyFont="1" applyFill="1" applyBorder="1" applyAlignment="1">
      <alignment vertical="center"/>
    </xf>
    <xf numFmtId="3" fontId="15" fillId="6" borderId="0" xfId="0" applyNumberFormat="1" applyFont="1" applyFill="1" applyAlignment="1">
      <alignment vertical="center"/>
    </xf>
    <xf numFmtId="166" fontId="0" fillId="0" borderId="0" xfId="0" applyNumberFormat="1"/>
    <xf numFmtId="168" fontId="15" fillId="6" borderId="14" xfId="2" applyNumberFormat="1" applyFont="1" applyFill="1" applyBorder="1" applyAlignment="1">
      <alignment horizontal="center" vertical="center"/>
    </xf>
    <xf numFmtId="168" fontId="15" fillId="6" borderId="14" xfId="1" applyNumberFormat="1" applyFont="1" applyFill="1" applyBorder="1" applyAlignment="1">
      <alignment horizontal="center" vertical="center"/>
    </xf>
    <xf numFmtId="0" fontId="0" fillId="12" borderId="0" xfId="0" applyFill="1"/>
    <xf numFmtId="0" fontId="0" fillId="12" borderId="0" xfId="0" applyFill="1" applyAlignment="1">
      <alignment horizontal="left"/>
    </xf>
    <xf numFmtId="0" fontId="26" fillId="6" borderId="0" xfId="0" applyFont="1" applyFill="1" applyAlignment="1">
      <alignment horizontal="center" vertical="center" wrapText="1"/>
    </xf>
    <xf numFmtId="0" fontId="0" fillId="6" borderId="0" xfId="0" applyFill="1" applyAlignment="1">
      <alignment horizontal="left"/>
    </xf>
    <xf numFmtId="0" fontId="36" fillId="6" borderId="0" xfId="0" applyFont="1" applyFill="1"/>
    <xf numFmtId="0" fontId="35" fillId="6" borderId="0" xfId="0" applyFont="1" applyFill="1" applyAlignment="1">
      <alignment horizontal="left"/>
    </xf>
    <xf numFmtId="0" fontId="36" fillId="6" borderId="0" xfId="0" applyFont="1" applyFill="1" applyAlignment="1">
      <alignment horizontal="center"/>
    </xf>
    <xf numFmtId="0" fontId="0" fillId="13" borderId="0" xfId="0" applyFill="1" applyAlignment="1">
      <alignment horizontal="left"/>
    </xf>
    <xf numFmtId="0" fontId="33" fillId="13" borderId="0" xfId="0" applyFont="1" applyFill="1" applyAlignment="1">
      <alignment horizontal="left" indent="2"/>
    </xf>
    <xf numFmtId="0" fontId="0" fillId="13" borderId="0" xfId="0" applyFill="1"/>
    <xf numFmtId="0" fontId="36" fillId="13" borderId="0" xfId="0" applyFont="1" applyFill="1"/>
    <xf numFmtId="0" fontId="35" fillId="13" borderId="0" xfId="0" applyFont="1" applyFill="1" applyAlignment="1">
      <alignment horizontal="left"/>
    </xf>
    <xf numFmtId="0" fontId="35" fillId="13" borderId="0" xfId="0" applyFont="1" applyFill="1"/>
    <xf numFmtId="0" fontId="35" fillId="13" borderId="0" xfId="0" applyFont="1" applyFill="1" applyAlignment="1">
      <alignment horizontal="right"/>
    </xf>
    <xf numFmtId="0" fontId="33" fillId="13" borderId="0" xfId="0" applyFont="1" applyFill="1" applyAlignment="1">
      <alignment horizontal="left"/>
    </xf>
    <xf numFmtId="0" fontId="0" fillId="14" borderId="0" xfId="0" applyFill="1"/>
    <xf numFmtId="0" fontId="0" fillId="14" borderId="0" xfId="0" applyFill="1" applyAlignment="1">
      <alignment horizontal="left"/>
    </xf>
    <xf numFmtId="0" fontId="35" fillId="14" borderId="0" xfId="0" applyFont="1" applyFill="1"/>
    <xf numFmtId="0" fontId="35" fillId="14" borderId="0" xfId="0" applyFont="1" applyFill="1" applyAlignment="1">
      <alignment horizontal="left"/>
    </xf>
    <xf numFmtId="0" fontId="35" fillId="14" borderId="0" xfId="0" applyFont="1" applyFill="1" applyAlignment="1">
      <alignment horizontal="center"/>
    </xf>
    <xf numFmtId="0" fontId="35" fillId="14" borderId="0" xfId="0" applyFont="1" applyFill="1" applyAlignment="1">
      <alignment horizontal="left" indent="6"/>
    </xf>
    <xf numFmtId="0" fontId="3" fillId="14" borderId="0" xfId="0" applyFont="1" applyFill="1" applyAlignment="1">
      <alignment horizontal="left"/>
    </xf>
    <xf numFmtId="0" fontId="33" fillId="14" borderId="0" xfId="0" applyFont="1" applyFill="1" applyAlignment="1">
      <alignment horizontal="left"/>
    </xf>
    <xf numFmtId="0" fontId="35" fillId="14" borderId="0" xfId="0" applyFont="1" applyFill="1" applyAlignment="1">
      <alignment horizontal="right"/>
    </xf>
    <xf numFmtId="0" fontId="37" fillId="14" borderId="0" xfId="0" applyFont="1" applyFill="1" applyAlignment="1">
      <alignment horizontal="right"/>
    </xf>
    <xf numFmtId="0" fontId="37" fillId="14" borderId="0" xfId="0" applyFont="1" applyFill="1"/>
    <xf numFmtId="170" fontId="35" fillId="14" borderId="0" xfId="0" applyNumberFormat="1" applyFont="1" applyFill="1" applyAlignment="1">
      <alignment horizontal="center"/>
    </xf>
    <xf numFmtId="164" fontId="35" fillId="14" borderId="0" xfId="0" applyNumberFormat="1" applyFont="1" applyFill="1" applyAlignment="1">
      <alignment horizontal="center"/>
    </xf>
    <xf numFmtId="171" fontId="35" fillId="14" borderId="0" xfId="0" applyNumberFormat="1" applyFont="1" applyFill="1" applyAlignment="1">
      <alignment horizontal="center"/>
    </xf>
    <xf numFmtId="0" fontId="0" fillId="0" borderId="0" xfId="0" applyAlignment="1">
      <alignment vertical="center"/>
    </xf>
    <xf numFmtId="0" fontId="3" fillId="15" borderId="29" xfId="0" applyFont="1" applyFill="1" applyBorder="1" applyAlignment="1">
      <alignment horizontal="center"/>
    </xf>
    <xf numFmtId="0" fontId="3" fillId="16" borderId="30" xfId="0" applyFont="1" applyFill="1" applyBorder="1" applyAlignment="1">
      <alignment horizontal="center"/>
    </xf>
    <xf numFmtId="0" fontId="3" fillId="17" borderId="31" xfId="0" applyFont="1" applyFill="1" applyBorder="1" applyAlignment="1">
      <alignment horizontal="center"/>
    </xf>
    <xf numFmtId="0" fontId="3" fillId="18" borderId="31" xfId="0" applyFont="1" applyFill="1" applyBorder="1" applyAlignment="1">
      <alignment horizontal="center"/>
    </xf>
    <xf numFmtId="0" fontId="0" fillId="15" borderId="29" xfId="0" applyFill="1" applyBorder="1" applyAlignment="1">
      <alignment horizontal="center"/>
    </xf>
    <xf numFmtId="0" fontId="0" fillId="16" borderId="29" xfId="0" applyFill="1" applyBorder="1" applyAlignment="1">
      <alignment horizontal="center"/>
    </xf>
    <xf numFmtId="0" fontId="0" fillId="17" borderId="29" xfId="0" applyFill="1" applyBorder="1" applyAlignment="1">
      <alignment horizontal="center"/>
    </xf>
    <xf numFmtId="0" fontId="0" fillId="17" borderId="29" xfId="0" applyFill="1" applyBorder="1" applyAlignment="1">
      <alignment horizontal="center" vertical="center"/>
    </xf>
    <xf numFmtId="0" fontId="0" fillId="18" borderId="29" xfId="0" applyFill="1" applyBorder="1" applyAlignment="1">
      <alignment horizontal="center" vertical="center"/>
    </xf>
    <xf numFmtId="0" fontId="0" fillId="19" borderId="29" xfId="0" applyFill="1" applyBorder="1" applyAlignment="1">
      <alignment horizontal="center" vertical="center"/>
    </xf>
    <xf numFmtId="0" fontId="3" fillId="20" borderId="0" xfId="0" applyFont="1" applyFill="1" applyAlignment="1">
      <alignment horizontal="center"/>
    </xf>
    <xf numFmtId="0" fontId="0" fillId="15" borderId="29" xfId="3" applyNumberFormat="1" applyFont="1" applyFill="1" applyBorder="1" applyAlignment="1">
      <alignment horizontal="center"/>
    </xf>
    <xf numFmtId="0" fontId="0" fillId="15" borderId="33" xfId="3" applyNumberFormat="1" applyFont="1" applyFill="1" applyBorder="1" applyAlignment="1">
      <alignment horizontal="center"/>
    </xf>
    <xf numFmtId="0" fontId="0" fillId="16" borderId="33" xfId="0" applyFill="1" applyBorder="1" applyAlignment="1">
      <alignment horizontal="center"/>
    </xf>
    <xf numFmtId="9" fontId="0" fillId="16" borderId="33" xfId="1" applyFont="1" applyFill="1" applyBorder="1" applyAlignment="1">
      <alignment horizontal="center"/>
    </xf>
    <xf numFmtId="0" fontId="0" fillId="17" borderId="33" xfId="0" applyFill="1" applyBorder="1" applyAlignment="1">
      <alignment horizontal="center"/>
    </xf>
    <xf numFmtId="0" fontId="0" fillId="17" borderId="33" xfId="0" applyFill="1" applyBorder="1" applyAlignment="1">
      <alignment horizontal="center" vertical="center"/>
    </xf>
    <xf numFmtId="0" fontId="0" fillId="18" borderId="33" xfId="0" applyFill="1" applyBorder="1" applyAlignment="1">
      <alignment horizontal="center" vertical="center"/>
    </xf>
    <xf numFmtId="0" fontId="0" fillId="19" borderId="33" xfId="0" applyFill="1" applyBorder="1" applyAlignment="1">
      <alignment horizontal="center" vertical="center"/>
    </xf>
    <xf numFmtId="0" fontId="40" fillId="20" borderId="32" xfId="0" applyFont="1" applyFill="1" applyBorder="1" applyAlignment="1">
      <alignment horizontal="center" vertical="center"/>
    </xf>
    <xf numFmtId="0" fontId="40" fillId="20" borderId="29" xfId="0" applyFont="1" applyFill="1" applyBorder="1" applyAlignment="1">
      <alignment horizontal="center" vertical="center"/>
    </xf>
    <xf numFmtId="0" fontId="40" fillId="16" borderId="29" xfId="0" applyFont="1" applyFill="1" applyBorder="1" applyAlignment="1">
      <alignment horizontal="center" vertical="center"/>
    </xf>
    <xf numFmtId="0" fontId="40" fillId="17" borderId="29" xfId="0" applyFont="1" applyFill="1" applyBorder="1" applyAlignment="1">
      <alignment horizontal="center" vertical="center"/>
    </xf>
    <xf numFmtId="0" fontId="40" fillId="18" borderId="29" xfId="0" applyFont="1" applyFill="1" applyBorder="1" applyAlignment="1">
      <alignment horizontal="center" vertical="center"/>
    </xf>
    <xf numFmtId="0" fontId="40" fillId="19" borderId="29" xfId="0" applyFont="1" applyFill="1" applyBorder="1" applyAlignment="1">
      <alignment horizontal="center" vertical="center"/>
    </xf>
    <xf numFmtId="0" fontId="7" fillId="0" borderId="32" xfId="0" applyFont="1" applyBorder="1"/>
    <xf numFmtId="0" fontId="0" fillId="0" borderId="29" xfId="0" applyBorder="1"/>
    <xf numFmtId="1" fontId="7" fillId="0" borderId="29" xfId="0" applyNumberFormat="1" applyFont="1" applyBorder="1"/>
    <xf numFmtId="3" fontId="0" fillId="0" borderId="29" xfId="0" applyNumberFormat="1" applyBorder="1"/>
    <xf numFmtId="9" fontId="0" fillId="0" borderId="29" xfId="1" applyFont="1" applyBorder="1"/>
    <xf numFmtId="9" fontId="0" fillId="0" borderId="29" xfId="0" applyNumberFormat="1" applyBorder="1"/>
    <xf numFmtId="9" fontId="0" fillId="0" borderId="34" xfId="1" applyFont="1" applyBorder="1"/>
    <xf numFmtId="9" fontId="0" fillId="0" borderId="34" xfId="0" applyNumberFormat="1" applyBorder="1"/>
    <xf numFmtId="0" fontId="0" fillId="0" borderId="32" xfId="0" applyBorder="1"/>
    <xf numFmtId="1" fontId="0" fillId="0" borderId="29" xfId="0" applyNumberFormat="1" applyBorder="1"/>
    <xf numFmtId="0" fontId="0" fillId="21" borderId="29" xfId="0" applyFill="1" applyBorder="1"/>
    <xf numFmtId="1" fontId="0" fillId="21" borderId="29" xfId="0" applyNumberFormat="1" applyFill="1" applyBorder="1"/>
    <xf numFmtId="0" fontId="0" fillId="0" borderId="29" xfId="0" applyBorder="1" applyAlignment="1">
      <alignment horizontal="right"/>
    </xf>
    <xf numFmtId="1" fontId="0" fillId="0" borderId="0" xfId="0" applyNumberFormat="1"/>
    <xf numFmtId="9" fontId="0" fillId="0" borderId="0" xfId="1" applyFont="1"/>
    <xf numFmtId="1" fontId="4" fillId="0" borderId="0" xfId="0" applyNumberFormat="1" applyFont="1" applyAlignment="1">
      <alignment horizontal="center" vertical="center"/>
    </xf>
    <xf numFmtId="0" fontId="0" fillId="0" borderId="0" xfId="0" applyAlignment="1">
      <alignment horizontal="center" vertical="center"/>
    </xf>
    <xf numFmtId="167" fontId="0" fillId="0" borderId="0" xfId="1" applyNumberFormat="1" applyFont="1"/>
    <xf numFmtId="0" fontId="0" fillId="0" borderId="0" xfId="0">
      <extLst>
        <ext xmlns:xfpb="http://schemas.microsoft.com/office/spreadsheetml/2022/featurepropertybag" uri="{C7286773-470A-42A8-94C5-96B5CB345126}">
          <xfpb:xfComplement i="0"/>
        </ext>
      </extLst>
    </xf>
    <xf numFmtId="0" fontId="42" fillId="6" borderId="0" xfId="4" applyFont="1" applyFill="1" applyAlignment="1">
      <alignment horizontal="left" vertical="center"/>
    </xf>
    <xf numFmtId="0" fontId="22" fillId="6" borderId="3" xfId="0" applyFont="1" applyFill="1" applyBorder="1" applyAlignment="1">
      <alignment horizontal="left" vertical="center" indent="1"/>
    </xf>
    <xf numFmtId="0" fontId="27" fillId="0" borderId="0" xfId="0" applyFont="1" applyAlignment="1">
      <alignment horizontal="right" vertical="center"/>
    </xf>
    <xf numFmtId="0" fontId="36" fillId="14" borderId="0" xfId="0" applyFont="1" applyFill="1" applyAlignment="1">
      <alignment horizontal="center"/>
    </xf>
    <xf numFmtId="0" fontId="26" fillId="6" borderId="22"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24" xfId="0" applyFont="1" applyFill="1" applyBorder="1" applyAlignment="1">
      <alignment horizontal="center" vertical="center" wrapText="1"/>
    </xf>
    <xf numFmtId="0" fontId="34" fillId="13" borderId="0" xfId="0" applyFont="1" applyFill="1" applyAlignment="1">
      <alignment horizontal="left"/>
    </xf>
    <xf numFmtId="0" fontId="12" fillId="6" borderId="0" xfId="0" applyFont="1" applyFill="1" applyAlignment="1">
      <alignment horizontal="left" vertical="center" indent="1"/>
    </xf>
    <xf numFmtId="0" fontId="26" fillId="6" borderId="0" xfId="0" applyFont="1" applyFill="1" applyAlignment="1">
      <alignment horizontal="left" vertical="center" wrapText="1"/>
    </xf>
    <xf numFmtId="0" fontId="35" fillId="14" borderId="0" xfId="0" applyFont="1" applyFill="1" applyAlignment="1">
      <alignment horizontal="center"/>
    </xf>
    <xf numFmtId="0" fontId="3" fillId="19" borderId="30" xfId="0" applyFont="1" applyFill="1" applyBorder="1" applyAlignment="1">
      <alignment horizontal="center"/>
    </xf>
    <xf numFmtId="0" fontId="3" fillId="19" borderId="31" xfId="0" applyFont="1" applyFill="1" applyBorder="1" applyAlignment="1">
      <alignment horizontal="center"/>
    </xf>
    <xf numFmtId="0" fontId="3" fillId="19" borderId="32" xfId="0" applyFont="1" applyFill="1" applyBorder="1" applyAlignment="1">
      <alignment horizontal="center"/>
    </xf>
    <xf numFmtId="0" fontId="3" fillId="20" borderId="29" xfId="0" applyFont="1" applyFill="1" applyBorder="1" applyAlignment="1">
      <alignment horizontal="center"/>
    </xf>
    <xf numFmtId="0" fontId="3" fillId="15" borderId="29" xfId="0" applyFont="1" applyFill="1" applyBorder="1" applyAlignment="1">
      <alignment horizontal="center"/>
    </xf>
    <xf numFmtId="0" fontId="3" fillId="16" borderId="29" xfId="0" applyFont="1" applyFill="1" applyBorder="1" applyAlignment="1">
      <alignment horizontal="center"/>
    </xf>
    <xf numFmtId="0" fontId="3" fillId="17" borderId="30" xfId="0" applyFont="1" applyFill="1" applyBorder="1" applyAlignment="1">
      <alignment horizontal="center"/>
    </xf>
    <xf numFmtId="0" fontId="3" fillId="17" borderId="31" xfId="0" applyFont="1" applyFill="1" applyBorder="1" applyAlignment="1">
      <alignment horizontal="center"/>
    </xf>
    <xf numFmtId="0" fontId="3" fillId="17" borderId="32" xfId="0" applyFont="1" applyFill="1" applyBorder="1" applyAlignment="1">
      <alignment horizontal="center"/>
    </xf>
    <xf numFmtId="0" fontId="3" fillId="18" borderId="30" xfId="0" applyFont="1" applyFill="1" applyBorder="1" applyAlignment="1">
      <alignment horizontal="center"/>
    </xf>
    <xf numFmtId="0" fontId="3" fillId="18" borderId="31" xfId="0" applyFont="1" applyFill="1" applyBorder="1" applyAlignment="1">
      <alignment horizontal="center"/>
    </xf>
    <xf numFmtId="0" fontId="3" fillId="18" borderId="32" xfId="0" applyFont="1" applyFill="1" applyBorder="1" applyAlignment="1">
      <alignment horizontal="center"/>
    </xf>
    <xf numFmtId="0" fontId="0" fillId="0" borderId="0" xfId="0" applyAlignment="1">
      <alignment horizontal="left" vertical="top" wrapText="1"/>
    </xf>
    <xf numFmtId="0" fontId="3" fillId="0" borderId="0" xfId="0" applyFont="1" applyAlignment="1">
      <alignment horizontal="center"/>
    </xf>
  </cellXfs>
  <cellStyles count="5">
    <cellStyle name="Comma" xfId="3" builtinId="3"/>
    <cellStyle name="Currency" xfId="2" builtinId="4"/>
    <cellStyle name="Hyperlink" xfId="4" builtinId="8"/>
    <cellStyle name="Normal" xfId="0" builtinId="0"/>
    <cellStyle name="Percent" xfId="1" builtinId="5"/>
  </cellStyles>
  <dxfs count="38">
    <dxf>
      <numFmt numFmtId="19" formatCode="yyyy/mm/dd"/>
    </dxf>
    <dxf>
      <font>
        <color theme="1"/>
      </font>
      <fill>
        <patternFill>
          <bgColor theme="9" tint="0.59996337778862885"/>
        </patternFill>
      </fill>
    </dxf>
    <dxf>
      <fill>
        <patternFill>
          <bgColor rgb="FFFFB3B3"/>
        </patternFill>
      </fill>
    </dxf>
    <dxf>
      <numFmt numFmtId="166" formatCode="0.00000"/>
    </dxf>
    <dxf>
      <font>
        <b val="0"/>
        <i val="0"/>
        <strike val="0"/>
        <condense val="0"/>
        <extend val="0"/>
        <outline val="0"/>
        <shadow val="0"/>
        <u val="none"/>
        <vertAlign val="baseline"/>
        <sz val="11"/>
        <color theme="1"/>
        <name val="Calibri"/>
        <family val="2"/>
        <scheme val="minor"/>
      </font>
      <numFmt numFmtId="167" formatCode="0.0%"/>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bottom style="thin">
          <color indexed="64"/>
        </bottom>
        <vertical/>
        <horizontal/>
      </border>
    </dxf>
    <dxf>
      <numFmt numFmtId="13" formatCode="0%"/>
      <border diagonalUp="0" diagonalDown="0">
        <left style="thin">
          <color indexed="64"/>
        </left>
        <right style="thin">
          <color indexed="64"/>
        </right>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border>
    </dxf>
    <dxf>
      <font>
        <strike val="0"/>
        <outline val="0"/>
        <shadow val="0"/>
        <u val="none"/>
        <vertAlign val="baseline"/>
        <sz val="11"/>
        <color auto="1"/>
        <name val="Calibri"/>
        <family val="2"/>
        <scheme val="minor"/>
      </font>
    </dxf>
  </dxfs>
  <tableStyles count="0" defaultTableStyle="TableStyleMedium2" defaultPivotStyle="PivotStyleLight16"/>
  <colors>
    <mruColors>
      <color rgb="FF002855"/>
      <color rgb="FF009FDF"/>
      <color rgb="FF002060"/>
      <color rgb="FFFFB3B3"/>
      <color rgb="FFFFC1C1"/>
      <color rgb="FFFFA7A7"/>
      <color rgb="FFFF8585"/>
      <color rgb="FFC6E0B4"/>
      <color rgb="FFE7E6E6"/>
      <color rgb="FFFCC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onnections" Target="connections.xml"/><Relationship Id="rId27" Type="http://schemas.microsoft.com/office/2022/11/relationships/FeaturePropertyBag" Target="featurePropertyBag/featurePropertyBag.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Économies d'énergie par appareil selon la capacité</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'Économies réelles'!$E$57:$E$187</c:f>
              <c:numCache>
                <c:formatCode>General</c:formatCode>
                <c:ptCount val="131"/>
                <c:pt idx="0">
                  <c:v>55000</c:v>
                </c:pt>
                <c:pt idx="1">
                  <c:v>55000</c:v>
                </c:pt>
                <c:pt idx="2">
                  <c:v>55000</c:v>
                </c:pt>
                <c:pt idx="3">
                  <c:v>55000</c:v>
                </c:pt>
                <c:pt idx="4">
                  <c:v>65000</c:v>
                </c:pt>
                <c:pt idx="5">
                  <c:v>85000</c:v>
                </c:pt>
                <c:pt idx="6">
                  <c:v>85000</c:v>
                </c:pt>
                <c:pt idx="7">
                  <c:v>85000</c:v>
                </c:pt>
                <c:pt idx="8">
                  <c:v>85000</c:v>
                </c:pt>
                <c:pt idx="9">
                  <c:v>110000</c:v>
                </c:pt>
                <c:pt idx="10">
                  <c:v>110000</c:v>
                </c:pt>
                <c:pt idx="11">
                  <c:v>110000</c:v>
                </c:pt>
                <c:pt idx="12">
                  <c:v>110000</c:v>
                </c:pt>
                <c:pt idx="13">
                  <c:v>130000</c:v>
                </c:pt>
                <c:pt idx="14">
                  <c:v>130000</c:v>
                </c:pt>
                <c:pt idx="15">
                  <c:v>130000</c:v>
                </c:pt>
                <c:pt idx="16">
                  <c:v>135000</c:v>
                </c:pt>
                <c:pt idx="17">
                  <c:v>135000</c:v>
                </c:pt>
                <c:pt idx="18">
                  <c:v>135000</c:v>
                </c:pt>
                <c:pt idx="19">
                  <c:v>150000</c:v>
                </c:pt>
                <c:pt idx="20">
                  <c:v>150000</c:v>
                </c:pt>
                <c:pt idx="21">
                  <c:v>180000</c:v>
                </c:pt>
                <c:pt idx="22">
                  <c:v>180000</c:v>
                </c:pt>
                <c:pt idx="23">
                  <c:v>180000</c:v>
                </c:pt>
                <c:pt idx="24">
                  <c:v>180000</c:v>
                </c:pt>
                <c:pt idx="25">
                  <c:v>180000</c:v>
                </c:pt>
                <c:pt idx="26">
                  <c:v>180000</c:v>
                </c:pt>
                <c:pt idx="27">
                  <c:v>180000</c:v>
                </c:pt>
                <c:pt idx="28">
                  <c:v>180000</c:v>
                </c:pt>
                <c:pt idx="29">
                  <c:v>180000</c:v>
                </c:pt>
                <c:pt idx="30">
                  <c:v>180000</c:v>
                </c:pt>
                <c:pt idx="31">
                  <c:v>180000</c:v>
                </c:pt>
                <c:pt idx="32">
                  <c:v>180000</c:v>
                </c:pt>
                <c:pt idx="33">
                  <c:v>180000</c:v>
                </c:pt>
                <c:pt idx="34">
                  <c:v>180000</c:v>
                </c:pt>
                <c:pt idx="35">
                  <c:v>200000</c:v>
                </c:pt>
                <c:pt idx="36">
                  <c:v>200000</c:v>
                </c:pt>
                <c:pt idx="37">
                  <c:v>215000</c:v>
                </c:pt>
                <c:pt idx="38">
                  <c:v>215000</c:v>
                </c:pt>
                <c:pt idx="39">
                  <c:v>215000</c:v>
                </c:pt>
                <c:pt idx="40">
                  <c:v>215000</c:v>
                </c:pt>
                <c:pt idx="41">
                  <c:v>215000</c:v>
                </c:pt>
                <c:pt idx="42">
                  <c:v>215000</c:v>
                </c:pt>
                <c:pt idx="43">
                  <c:v>215000</c:v>
                </c:pt>
                <c:pt idx="44">
                  <c:v>215000</c:v>
                </c:pt>
                <c:pt idx="45">
                  <c:v>260000</c:v>
                </c:pt>
                <c:pt idx="46">
                  <c:v>260000</c:v>
                </c:pt>
                <c:pt idx="47">
                  <c:v>260000</c:v>
                </c:pt>
                <c:pt idx="48">
                  <c:v>260000</c:v>
                </c:pt>
                <c:pt idx="49">
                  <c:v>260000</c:v>
                </c:pt>
                <c:pt idx="50">
                  <c:v>260000</c:v>
                </c:pt>
                <c:pt idx="51">
                  <c:v>260000</c:v>
                </c:pt>
                <c:pt idx="52">
                  <c:v>310000</c:v>
                </c:pt>
                <c:pt idx="53">
                  <c:v>310000</c:v>
                </c:pt>
                <c:pt idx="54">
                  <c:v>310000</c:v>
                </c:pt>
                <c:pt idx="55">
                  <c:v>310000</c:v>
                </c:pt>
                <c:pt idx="56">
                  <c:v>310000</c:v>
                </c:pt>
                <c:pt idx="57">
                  <c:v>50000</c:v>
                </c:pt>
                <c:pt idx="58">
                  <c:v>55000</c:v>
                </c:pt>
                <c:pt idx="59">
                  <c:v>55000</c:v>
                </c:pt>
                <c:pt idx="60">
                  <c:v>55000</c:v>
                </c:pt>
                <c:pt idx="61">
                  <c:v>65000</c:v>
                </c:pt>
                <c:pt idx="62">
                  <c:v>135000</c:v>
                </c:pt>
                <c:pt idx="63">
                  <c:v>135000</c:v>
                </c:pt>
                <c:pt idx="64">
                  <c:v>135000</c:v>
                </c:pt>
                <c:pt idx="65">
                  <c:v>155000</c:v>
                </c:pt>
                <c:pt idx="66">
                  <c:v>155000</c:v>
                </c:pt>
                <c:pt idx="67">
                  <c:v>155000</c:v>
                </c:pt>
                <c:pt idx="68">
                  <c:v>155000</c:v>
                </c:pt>
                <c:pt idx="69">
                  <c:v>180000</c:v>
                </c:pt>
                <c:pt idx="70">
                  <c:v>180000</c:v>
                </c:pt>
                <c:pt idx="71">
                  <c:v>180000</c:v>
                </c:pt>
                <c:pt idx="72">
                  <c:v>180000</c:v>
                </c:pt>
                <c:pt idx="73">
                  <c:v>180000</c:v>
                </c:pt>
                <c:pt idx="74">
                  <c:v>200000</c:v>
                </c:pt>
                <c:pt idx="75">
                  <c:v>200000</c:v>
                </c:pt>
                <c:pt idx="76">
                  <c:v>215000</c:v>
                </c:pt>
                <c:pt idx="77">
                  <c:v>215000</c:v>
                </c:pt>
                <c:pt idx="78">
                  <c:v>260000</c:v>
                </c:pt>
                <c:pt idx="79">
                  <c:v>260000</c:v>
                </c:pt>
                <c:pt idx="80">
                  <c:v>260000</c:v>
                </c:pt>
                <c:pt idx="81">
                  <c:v>260000</c:v>
                </c:pt>
                <c:pt idx="82">
                  <c:v>260000</c:v>
                </c:pt>
                <c:pt idx="83">
                  <c:v>260000</c:v>
                </c:pt>
                <c:pt idx="84">
                  <c:v>260000</c:v>
                </c:pt>
                <c:pt idx="85">
                  <c:v>310000</c:v>
                </c:pt>
                <c:pt idx="86">
                  <c:v>310000</c:v>
                </c:pt>
                <c:pt idx="87">
                  <c:v>310000</c:v>
                </c:pt>
                <c:pt idx="88">
                  <c:v>400000</c:v>
                </c:pt>
                <c:pt idx="89">
                  <c:v>55000</c:v>
                </c:pt>
                <c:pt idx="90">
                  <c:v>155000</c:v>
                </c:pt>
                <c:pt idx="91">
                  <c:v>155000</c:v>
                </c:pt>
                <c:pt idx="92">
                  <c:v>175000</c:v>
                </c:pt>
                <c:pt idx="93">
                  <c:v>175000</c:v>
                </c:pt>
                <c:pt idx="94">
                  <c:v>175000</c:v>
                </c:pt>
                <c:pt idx="95">
                  <c:v>175000</c:v>
                </c:pt>
                <c:pt idx="96">
                  <c:v>180000</c:v>
                </c:pt>
                <c:pt idx="97">
                  <c:v>180000</c:v>
                </c:pt>
                <c:pt idx="98">
                  <c:v>200000</c:v>
                </c:pt>
                <c:pt idx="99">
                  <c:v>215000</c:v>
                </c:pt>
                <c:pt idx="100">
                  <c:v>260000</c:v>
                </c:pt>
                <c:pt idx="101">
                  <c:v>260000</c:v>
                </c:pt>
                <c:pt idx="102">
                  <c:v>260000</c:v>
                </c:pt>
                <c:pt idx="103">
                  <c:v>300000</c:v>
                </c:pt>
                <c:pt idx="104">
                  <c:v>305000</c:v>
                </c:pt>
                <c:pt idx="105">
                  <c:v>305000</c:v>
                </c:pt>
                <c:pt idx="106">
                  <c:v>310000</c:v>
                </c:pt>
                <c:pt idx="107">
                  <c:v>310000</c:v>
                </c:pt>
                <c:pt idx="108">
                  <c:v>310000</c:v>
                </c:pt>
                <c:pt idx="109">
                  <c:v>100000</c:v>
                </c:pt>
                <c:pt idx="110">
                  <c:v>130000</c:v>
                </c:pt>
                <c:pt idx="111">
                  <c:v>135000</c:v>
                </c:pt>
                <c:pt idx="112">
                  <c:v>175000</c:v>
                </c:pt>
                <c:pt idx="113">
                  <c:v>175000</c:v>
                </c:pt>
                <c:pt idx="114">
                  <c:v>180000</c:v>
                </c:pt>
                <c:pt idx="115">
                  <c:v>180000</c:v>
                </c:pt>
                <c:pt idx="116">
                  <c:v>260000</c:v>
                </c:pt>
                <c:pt idx="117">
                  <c:v>260000</c:v>
                </c:pt>
                <c:pt idx="118">
                  <c:v>260000</c:v>
                </c:pt>
                <c:pt idx="119">
                  <c:v>260000</c:v>
                </c:pt>
                <c:pt idx="120">
                  <c:v>260000</c:v>
                </c:pt>
                <c:pt idx="121">
                  <c:v>260000</c:v>
                </c:pt>
                <c:pt idx="122">
                  <c:v>260000</c:v>
                </c:pt>
                <c:pt idx="123">
                  <c:v>260000</c:v>
                </c:pt>
                <c:pt idx="124">
                  <c:v>260000</c:v>
                </c:pt>
                <c:pt idx="125">
                  <c:v>310000</c:v>
                </c:pt>
                <c:pt idx="126">
                  <c:v>310000</c:v>
                </c:pt>
                <c:pt idx="127">
                  <c:v>310000</c:v>
                </c:pt>
                <c:pt idx="128">
                  <c:v>310000</c:v>
                </c:pt>
                <c:pt idx="129">
                  <c:v>310000</c:v>
                </c:pt>
                <c:pt idx="130">
                  <c:v>310000</c:v>
                </c:pt>
              </c:numCache>
            </c:numRef>
          </c:xVal>
          <c:yVal>
            <c:numRef>
              <c:f>'Économies réelles'!$F$57:$F$187</c:f>
              <c:numCache>
                <c:formatCode>0</c:formatCode>
                <c:ptCount val="131"/>
                <c:pt idx="0">
                  <c:v>277.75</c:v>
                </c:pt>
                <c:pt idx="1">
                  <c:v>277.75</c:v>
                </c:pt>
                <c:pt idx="2">
                  <c:v>277.75</c:v>
                </c:pt>
                <c:pt idx="3">
                  <c:v>277.75</c:v>
                </c:pt>
                <c:pt idx="4">
                  <c:v>328.25</c:v>
                </c:pt>
                <c:pt idx="5">
                  <c:v>429.25</c:v>
                </c:pt>
                <c:pt idx="6">
                  <c:v>429.25</c:v>
                </c:pt>
                <c:pt idx="7">
                  <c:v>429.25</c:v>
                </c:pt>
                <c:pt idx="8">
                  <c:v>429.25</c:v>
                </c:pt>
                <c:pt idx="9">
                  <c:v>555.5</c:v>
                </c:pt>
                <c:pt idx="10">
                  <c:v>555.5</c:v>
                </c:pt>
                <c:pt idx="11">
                  <c:v>555.5</c:v>
                </c:pt>
                <c:pt idx="12">
                  <c:v>555.5</c:v>
                </c:pt>
                <c:pt idx="13">
                  <c:v>656.5</c:v>
                </c:pt>
                <c:pt idx="14">
                  <c:v>656.5</c:v>
                </c:pt>
                <c:pt idx="15">
                  <c:v>656.5</c:v>
                </c:pt>
                <c:pt idx="16">
                  <c:v>681.75</c:v>
                </c:pt>
                <c:pt idx="17">
                  <c:v>681.75</c:v>
                </c:pt>
                <c:pt idx="18">
                  <c:v>681.75</c:v>
                </c:pt>
                <c:pt idx="19">
                  <c:v>757.5</c:v>
                </c:pt>
                <c:pt idx="20">
                  <c:v>757.5</c:v>
                </c:pt>
                <c:pt idx="21">
                  <c:v>909</c:v>
                </c:pt>
                <c:pt idx="22">
                  <c:v>909</c:v>
                </c:pt>
                <c:pt idx="23">
                  <c:v>909</c:v>
                </c:pt>
                <c:pt idx="24">
                  <c:v>909</c:v>
                </c:pt>
                <c:pt idx="25">
                  <c:v>909</c:v>
                </c:pt>
                <c:pt idx="26">
                  <c:v>909</c:v>
                </c:pt>
                <c:pt idx="27">
                  <c:v>909</c:v>
                </c:pt>
                <c:pt idx="28">
                  <c:v>909</c:v>
                </c:pt>
                <c:pt idx="29">
                  <c:v>909</c:v>
                </c:pt>
                <c:pt idx="30">
                  <c:v>909</c:v>
                </c:pt>
                <c:pt idx="31">
                  <c:v>909</c:v>
                </c:pt>
                <c:pt idx="32">
                  <c:v>909</c:v>
                </c:pt>
                <c:pt idx="33">
                  <c:v>909</c:v>
                </c:pt>
                <c:pt idx="34">
                  <c:v>909</c:v>
                </c:pt>
                <c:pt idx="35">
                  <c:v>1010</c:v>
                </c:pt>
                <c:pt idx="36">
                  <c:v>1010</c:v>
                </c:pt>
                <c:pt idx="37">
                  <c:v>1085.75</c:v>
                </c:pt>
                <c:pt idx="38">
                  <c:v>1085.75</c:v>
                </c:pt>
                <c:pt idx="39">
                  <c:v>1085.75</c:v>
                </c:pt>
                <c:pt idx="40">
                  <c:v>1085.75</c:v>
                </c:pt>
                <c:pt idx="41">
                  <c:v>1085.75</c:v>
                </c:pt>
                <c:pt idx="42">
                  <c:v>1085.75</c:v>
                </c:pt>
                <c:pt idx="43">
                  <c:v>1085.75</c:v>
                </c:pt>
                <c:pt idx="44">
                  <c:v>1085.75</c:v>
                </c:pt>
                <c:pt idx="45">
                  <c:v>1313</c:v>
                </c:pt>
                <c:pt idx="46">
                  <c:v>1313</c:v>
                </c:pt>
                <c:pt idx="47">
                  <c:v>1313</c:v>
                </c:pt>
                <c:pt idx="48">
                  <c:v>1313</c:v>
                </c:pt>
                <c:pt idx="49">
                  <c:v>1313</c:v>
                </c:pt>
                <c:pt idx="50">
                  <c:v>1313</c:v>
                </c:pt>
                <c:pt idx="51">
                  <c:v>1313</c:v>
                </c:pt>
                <c:pt idx="52">
                  <c:v>1565.5</c:v>
                </c:pt>
                <c:pt idx="53">
                  <c:v>1565.5</c:v>
                </c:pt>
                <c:pt idx="54">
                  <c:v>1565.5</c:v>
                </c:pt>
                <c:pt idx="55">
                  <c:v>1565.5</c:v>
                </c:pt>
                <c:pt idx="56">
                  <c:v>1565.5</c:v>
                </c:pt>
                <c:pt idx="57">
                  <c:v>252.5</c:v>
                </c:pt>
                <c:pt idx="58">
                  <c:v>277.75</c:v>
                </c:pt>
                <c:pt idx="59">
                  <c:v>277.75</c:v>
                </c:pt>
                <c:pt idx="60">
                  <c:v>277.75</c:v>
                </c:pt>
                <c:pt idx="61">
                  <c:v>328.25</c:v>
                </c:pt>
                <c:pt idx="62">
                  <c:v>681.75</c:v>
                </c:pt>
                <c:pt idx="63">
                  <c:v>681.75</c:v>
                </c:pt>
                <c:pt idx="64">
                  <c:v>681.75</c:v>
                </c:pt>
                <c:pt idx="65">
                  <c:v>782.75</c:v>
                </c:pt>
                <c:pt idx="66">
                  <c:v>782.75</c:v>
                </c:pt>
                <c:pt idx="67">
                  <c:v>782.75</c:v>
                </c:pt>
                <c:pt idx="68">
                  <c:v>782.75</c:v>
                </c:pt>
                <c:pt idx="69">
                  <c:v>909</c:v>
                </c:pt>
                <c:pt idx="70">
                  <c:v>909</c:v>
                </c:pt>
                <c:pt idx="71">
                  <c:v>909</c:v>
                </c:pt>
                <c:pt idx="72">
                  <c:v>909</c:v>
                </c:pt>
                <c:pt idx="73">
                  <c:v>909</c:v>
                </c:pt>
                <c:pt idx="74">
                  <c:v>1010</c:v>
                </c:pt>
                <c:pt idx="75">
                  <c:v>1010</c:v>
                </c:pt>
                <c:pt idx="76">
                  <c:v>1085.75</c:v>
                </c:pt>
                <c:pt idx="77">
                  <c:v>1085.75</c:v>
                </c:pt>
                <c:pt idx="78">
                  <c:v>1313</c:v>
                </c:pt>
                <c:pt idx="79">
                  <c:v>1313</c:v>
                </c:pt>
                <c:pt idx="80">
                  <c:v>1313</c:v>
                </c:pt>
                <c:pt idx="81">
                  <c:v>1313</c:v>
                </c:pt>
                <c:pt idx="82">
                  <c:v>1313</c:v>
                </c:pt>
                <c:pt idx="83">
                  <c:v>1313</c:v>
                </c:pt>
                <c:pt idx="84">
                  <c:v>1313</c:v>
                </c:pt>
                <c:pt idx="85">
                  <c:v>1565.5</c:v>
                </c:pt>
                <c:pt idx="86">
                  <c:v>1565.5</c:v>
                </c:pt>
                <c:pt idx="87">
                  <c:v>1565.5</c:v>
                </c:pt>
                <c:pt idx="88">
                  <c:v>2020</c:v>
                </c:pt>
                <c:pt idx="89">
                  <c:v>277.75</c:v>
                </c:pt>
                <c:pt idx="90">
                  <c:v>782.75</c:v>
                </c:pt>
                <c:pt idx="91">
                  <c:v>782.75</c:v>
                </c:pt>
                <c:pt idx="92">
                  <c:v>883.75</c:v>
                </c:pt>
                <c:pt idx="93">
                  <c:v>883.75</c:v>
                </c:pt>
                <c:pt idx="94">
                  <c:v>883.75</c:v>
                </c:pt>
                <c:pt idx="95">
                  <c:v>883.75</c:v>
                </c:pt>
                <c:pt idx="96">
                  <c:v>909</c:v>
                </c:pt>
                <c:pt idx="97">
                  <c:v>909</c:v>
                </c:pt>
                <c:pt idx="98">
                  <c:v>1010</c:v>
                </c:pt>
                <c:pt idx="99">
                  <c:v>1085.75</c:v>
                </c:pt>
                <c:pt idx="100">
                  <c:v>1313</c:v>
                </c:pt>
                <c:pt idx="101">
                  <c:v>1313</c:v>
                </c:pt>
                <c:pt idx="102">
                  <c:v>1313</c:v>
                </c:pt>
                <c:pt idx="103">
                  <c:v>1515</c:v>
                </c:pt>
                <c:pt idx="104">
                  <c:v>1540.25</c:v>
                </c:pt>
                <c:pt idx="105">
                  <c:v>1540.25</c:v>
                </c:pt>
                <c:pt idx="106">
                  <c:v>1565.5</c:v>
                </c:pt>
                <c:pt idx="107">
                  <c:v>1565.5</c:v>
                </c:pt>
                <c:pt idx="108">
                  <c:v>1565.5</c:v>
                </c:pt>
                <c:pt idx="109">
                  <c:v>505</c:v>
                </c:pt>
                <c:pt idx="110">
                  <c:v>656.5</c:v>
                </c:pt>
                <c:pt idx="111">
                  <c:v>681.75</c:v>
                </c:pt>
                <c:pt idx="112">
                  <c:v>883.75</c:v>
                </c:pt>
                <c:pt idx="113">
                  <c:v>883.75</c:v>
                </c:pt>
                <c:pt idx="114">
                  <c:v>909</c:v>
                </c:pt>
                <c:pt idx="115">
                  <c:v>909</c:v>
                </c:pt>
                <c:pt idx="116">
                  <c:v>1313</c:v>
                </c:pt>
                <c:pt idx="117">
                  <c:v>1313</c:v>
                </c:pt>
                <c:pt idx="118">
                  <c:v>1313</c:v>
                </c:pt>
                <c:pt idx="119">
                  <c:v>1313</c:v>
                </c:pt>
                <c:pt idx="120">
                  <c:v>1313</c:v>
                </c:pt>
                <c:pt idx="121">
                  <c:v>1313</c:v>
                </c:pt>
                <c:pt idx="122">
                  <c:v>1313</c:v>
                </c:pt>
                <c:pt idx="123">
                  <c:v>1313</c:v>
                </c:pt>
                <c:pt idx="124">
                  <c:v>1313</c:v>
                </c:pt>
                <c:pt idx="125">
                  <c:v>1565.5</c:v>
                </c:pt>
                <c:pt idx="126">
                  <c:v>1565.5</c:v>
                </c:pt>
                <c:pt idx="127">
                  <c:v>1565.5</c:v>
                </c:pt>
                <c:pt idx="128">
                  <c:v>1565.5</c:v>
                </c:pt>
                <c:pt idx="129">
                  <c:v>1565.5</c:v>
                </c:pt>
                <c:pt idx="130">
                  <c:v>1565.5</c:v>
                </c:pt>
              </c:numCache>
            </c:numRef>
          </c:yVal>
          <c:smooth val="0"/>
          <c:extLst>
            <c:ext xmlns:c16="http://schemas.microsoft.com/office/drawing/2014/chart" uri="{C3380CC4-5D6E-409C-BE32-E72D297353CC}">
              <c16:uniqueId val="{00000001-9BD1-46F8-B685-4455CEAF52B3}"/>
            </c:ext>
          </c:extLst>
        </c:ser>
        <c:dLbls>
          <c:showLegendKey val="0"/>
          <c:showVal val="0"/>
          <c:showCatName val="0"/>
          <c:showSerName val="0"/>
          <c:showPercent val="0"/>
          <c:showBubbleSize val="0"/>
        </c:dLbls>
        <c:axId val="1185506559"/>
        <c:axId val="1185509439"/>
      </c:scatterChart>
      <c:valAx>
        <c:axId val="11855065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509439"/>
        <c:crosses val="autoZero"/>
        <c:crossBetween val="midCat"/>
      </c:valAx>
      <c:valAx>
        <c:axId val="11855094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50655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Économies</a:t>
            </a:r>
            <a:r>
              <a:rPr lang="en-CA" baseline="0"/>
              <a:t> d'énergies selon BTU/h</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scatterChart>
        <c:scatterStyle val="lineMarker"/>
        <c:varyColors val="0"/>
        <c:ser>
          <c:idx val="0"/>
          <c:order val="0"/>
          <c:tx>
            <c:strRef>
              <c:f>Validation!$C$2</c:f>
              <c:strCache>
                <c:ptCount val="1"/>
                <c:pt idx="0">
                  <c:v>Économies réelles</c:v>
                </c:pt>
              </c:strCache>
            </c:strRef>
          </c:tx>
          <c:spPr>
            <a:ln w="19050" cap="rnd">
              <a:noFill/>
              <a:round/>
            </a:ln>
            <a:effectLst/>
          </c:spPr>
          <c:marker>
            <c:symbol val="circle"/>
            <c:size val="5"/>
            <c:spPr>
              <a:solidFill>
                <a:schemeClr val="accent1"/>
              </a:solidFill>
              <a:ln w="9525">
                <a:solidFill>
                  <a:schemeClr val="accent1"/>
                </a:solidFill>
              </a:ln>
              <a:effectLst/>
            </c:spPr>
          </c:marker>
          <c:xVal>
            <c:numRef>
              <c:f>Validation!$B$3:$B$10</c:f>
              <c:numCache>
                <c:formatCode>General</c:formatCode>
                <c:ptCount val="8"/>
                <c:pt idx="0">
                  <c:v>50000</c:v>
                </c:pt>
                <c:pt idx="1">
                  <c:v>100000</c:v>
                </c:pt>
                <c:pt idx="2">
                  <c:v>150000</c:v>
                </c:pt>
                <c:pt idx="3">
                  <c:v>200000</c:v>
                </c:pt>
                <c:pt idx="4">
                  <c:v>250000</c:v>
                </c:pt>
                <c:pt idx="5">
                  <c:v>300000</c:v>
                </c:pt>
                <c:pt idx="6">
                  <c:v>350000</c:v>
                </c:pt>
                <c:pt idx="7">
                  <c:v>400000</c:v>
                </c:pt>
              </c:numCache>
            </c:numRef>
          </c:xVal>
          <c:yVal>
            <c:numRef>
              <c:f>Validation!$C$3:$C$10</c:f>
              <c:numCache>
                <c:formatCode>General</c:formatCode>
                <c:ptCount val="8"/>
                <c:pt idx="0">
                  <c:v>255.00000000000003</c:v>
                </c:pt>
                <c:pt idx="1">
                  <c:v>510.00000000000006</c:v>
                </c:pt>
                <c:pt idx="2">
                  <c:v>765</c:v>
                </c:pt>
                <c:pt idx="3">
                  <c:v>1020.0000000000001</c:v>
                </c:pt>
                <c:pt idx="4">
                  <c:v>1275</c:v>
                </c:pt>
                <c:pt idx="5">
                  <c:v>1530</c:v>
                </c:pt>
                <c:pt idx="6">
                  <c:v>1785.0000000000002</c:v>
                </c:pt>
                <c:pt idx="7">
                  <c:v>2040.0000000000002</c:v>
                </c:pt>
              </c:numCache>
            </c:numRef>
          </c:yVal>
          <c:smooth val="0"/>
          <c:extLst>
            <c:ext xmlns:c16="http://schemas.microsoft.com/office/drawing/2014/chart" uri="{C3380CC4-5D6E-409C-BE32-E72D297353CC}">
              <c16:uniqueId val="{00000000-3773-42F4-B0BF-3DADE596FA9D}"/>
            </c:ext>
          </c:extLst>
        </c:ser>
        <c:ser>
          <c:idx val="1"/>
          <c:order val="1"/>
          <c:tx>
            <c:strRef>
              <c:f>Validation!$D$2</c:f>
              <c:strCache>
                <c:ptCount val="1"/>
                <c:pt idx="0">
                  <c:v>Économies calculées</c:v>
                </c:pt>
              </c:strCache>
            </c:strRef>
          </c:tx>
          <c:spPr>
            <a:ln w="25400" cap="rnd">
              <a:noFill/>
              <a:round/>
            </a:ln>
            <a:effectLst/>
          </c:spPr>
          <c:marker>
            <c:symbol val="circle"/>
            <c:size val="5"/>
            <c:spPr>
              <a:solidFill>
                <a:schemeClr val="accent2"/>
              </a:solidFill>
              <a:ln w="9525">
                <a:solidFill>
                  <a:schemeClr val="accent2"/>
                </a:solidFill>
              </a:ln>
              <a:effectLst/>
            </c:spPr>
          </c:marker>
          <c:xVal>
            <c:numRef>
              <c:f>Validation!$B$3:$B$10</c:f>
              <c:numCache>
                <c:formatCode>General</c:formatCode>
                <c:ptCount val="8"/>
                <c:pt idx="0">
                  <c:v>50000</c:v>
                </c:pt>
                <c:pt idx="1">
                  <c:v>100000</c:v>
                </c:pt>
                <c:pt idx="2">
                  <c:v>150000</c:v>
                </c:pt>
                <c:pt idx="3">
                  <c:v>200000</c:v>
                </c:pt>
                <c:pt idx="4">
                  <c:v>250000</c:v>
                </c:pt>
                <c:pt idx="5">
                  <c:v>300000</c:v>
                </c:pt>
                <c:pt idx="6">
                  <c:v>350000</c:v>
                </c:pt>
                <c:pt idx="7">
                  <c:v>400000</c:v>
                </c:pt>
              </c:numCache>
            </c:numRef>
          </c:xVal>
          <c:yVal>
            <c:numRef>
              <c:f>Validation!$D$3:$D$10</c:f>
              <c:numCache>
                <c:formatCode>General</c:formatCode>
                <c:ptCount val="8"/>
                <c:pt idx="0">
                  <c:v>272</c:v>
                </c:pt>
                <c:pt idx="1">
                  <c:v>543</c:v>
                </c:pt>
                <c:pt idx="2">
                  <c:v>815</c:v>
                </c:pt>
                <c:pt idx="3">
                  <c:v>1087</c:v>
                </c:pt>
                <c:pt idx="4">
                  <c:v>1359</c:v>
                </c:pt>
                <c:pt idx="5">
                  <c:v>1630</c:v>
                </c:pt>
                <c:pt idx="6">
                  <c:v>1902</c:v>
                </c:pt>
                <c:pt idx="7">
                  <c:v>2174</c:v>
                </c:pt>
              </c:numCache>
            </c:numRef>
          </c:yVal>
          <c:smooth val="0"/>
          <c:extLst>
            <c:ext xmlns:c16="http://schemas.microsoft.com/office/drawing/2014/chart" uri="{C3380CC4-5D6E-409C-BE32-E72D297353CC}">
              <c16:uniqueId val="{00000003-3773-42F4-B0BF-3DADE596FA9D}"/>
            </c:ext>
          </c:extLst>
        </c:ser>
        <c:dLbls>
          <c:showLegendKey val="0"/>
          <c:showVal val="0"/>
          <c:showCatName val="0"/>
          <c:showSerName val="0"/>
          <c:showPercent val="0"/>
          <c:showBubbleSize val="0"/>
        </c:dLbls>
        <c:axId val="1413701680"/>
        <c:axId val="1413699280"/>
      </c:scatterChart>
      <c:valAx>
        <c:axId val="14137016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BTU/h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699280"/>
        <c:crosses val="autoZero"/>
        <c:crossBetween val="midCat"/>
      </c:valAx>
      <c:valAx>
        <c:axId val="1413699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m3 de GN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7016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Surcoût</a:t>
            </a:r>
            <a:r>
              <a:rPr lang="fr-CA" baseline="0"/>
              <a:t> et AF vs capacité</a:t>
            </a:r>
            <a:endParaRPr lang="fr-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CA"/>
        </a:p>
      </c:txPr>
    </c:title>
    <c:autoTitleDeleted val="0"/>
    <c:plotArea>
      <c:layout/>
      <c:scatterChart>
        <c:scatterStyle val="lineMarker"/>
        <c:varyColors val="0"/>
        <c:ser>
          <c:idx val="0"/>
          <c:order val="0"/>
          <c:tx>
            <c:v>Coût incrémental (incluant l'installation) vs Capacité des appareils installés</c:v>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trendline>
            <c:spPr>
              <a:ln w="19050" cap="rnd">
                <a:solidFill>
                  <a:schemeClr val="accent1"/>
                </a:solidFill>
                <a:prstDash val="sysDot"/>
              </a:ln>
              <a:effectLst/>
            </c:spPr>
            <c:trendlineType val="poly"/>
            <c:order val="2"/>
            <c:dispRSqr val="0"/>
            <c:dispEq val="0"/>
          </c:trendline>
          <c:xVal>
            <c:numRef>
              <c:f>Courbe!$G$2:$G$65</c:f>
              <c:numCache>
                <c:formatCode>#,##0</c:formatCode>
                <c:ptCount val="64"/>
                <c:pt idx="0">
                  <c:v>50000</c:v>
                </c:pt>
                <c:pt idx="1">
                  <c:v>100000</c:v>
                </c:pt>
                <c:pt idx="2">
                  <c:v>150000</c:v>
                </c:pt>
                <c:pt idx="3">
                  <c:v>200000</c:v>
                </c:pt>
                <c:pt idx="4">
                  <c:v>300000</c:v>
                </c:pt>
                <c:pt idx="5">
                  <c:v>400000</c:v>
                </c:pt>
                <c:pt idx="6">
                  <c:v>50000</c:v>
                </c:pt>
                <c:pt idx="7">
                  <c:v>100000</c:v>
                </c:pt>
                <c:pt idx="8">
                  <c:v>150000</c:v>
                </c:pt>
                <c:pt idx="9">
                  <c:v>200000</c:v>
                </c:pt>
                <c:pt idx="10">
                  <c:v>300000</c:v>
                </c:pt>
                <c:pt idx="11">
                  <c:v>400000</c:v>
                </c:pt>
                <c:pt idx="12">
                  <c:v>50000</c:v>
                </c:pt>
                <c:pt idx="13">
                  <c:v>100000</c:v>
                </c:pt>
                <c:pt idx="14">
                  <c:v>150000</c:v>
                </c:pt>
                <c:pt idx="15">
                  <c:v>200000</c:v>
                </c:pt>
                <c:pt idx="16">
                  <c:v>300000</c:v>
                </c:pt>
                <c:pt idx="17">
                  <c:v>400000</c:v>
                </c:pt>
                <c:pt idx="18">
                  <c:v>50000</c:v>
                </c:pt>
                <c:pt idx="19">
                  <c:v>100000</c:v>
                </c:pt>
                <c:pt idx="20">
                  <c:v>150000</c:v>
                </c:pt>
                <c:pt idx="21">
                  <c:v>200000</c:v>
                </c:pt>
                <c:pt idx="22">
                  <c:v>300000</c:v>
                </c:pt>
                <c:pt idx="23">
                  <c:v>400000</c:v>
                </c:pt>
                <c:pt idx="24">
                  <c:v>215000</c:v>
                </c:pt>
                <c:pt idx="25">
                  <c:v>260000</c:v>
                </c:pt>
                <c:pt idx="26">
                  <c:v>310000</c:v>
                </c:pt>
                <c:pt idx="27">
                  <c:v>110000</c:v>
                </c:pt>
                <c:pt idx="28">
                  <c:v>135000</c:v>
                </c:pt>
                <c:pt idx="29">
                  <c:v>155000</c:v>
                </c:pt>
                <c:pt idx="30">
                  <c:v>180000</c:v>
                </c:pt>
                <c:pt idx="31">
                  <c:v>215000</c:v>
                </c:pt>
                <c:pt idx="32">
                  <c:v>260000</c:v>
                </c:pt>
                <c:pt idx="33">
                  <c:v>310000</c:v>
                </c:pt>
                <c:pt idx="34">
                  <c:v>55000</c:v>
                </c:pt>
                <c:pt idx="35">
                  <c:v>65000</c:v>
                </c:pt>
                <c:pt idx="36">
                  <c:v>85000</c:v>
                </c:pt>
                <c:pt idx="37">
                  <c:v>110000</c:v>
                </c:pt>
                <c:pt idx="38">
                  <c:v>130000</c:v>
                </c:pt>
                <c:pt idx="39">
                  <c:v>175000</c:v>
                </c:pt>
                <c:pt idx="40">
                  <c:v>260000</c:v>
                </c:pt>
                <c:pt idx="41">
                  <c:v>305000</c:v>
                </c:pt>
                <c:pt idx="42">
                  <c:v>55000</c:v>
                </c:pt>
                <c:pt idx="43">
                  <c:v>85000</c:v>
                </c:pt>
                <c:pt idx="44">
                  <c:v>130000</c:v>
                </c:pt>
                <c:pt idx="45">
                  <c:v>180000</c:v>
                </c:pt>
                <c:pt idx="46">
                  <c:v>260000</c:v>
                </c:pt>
                <c:pt idx="47">
                  <c:v>310000</c:v>
                </c:pt>
                <c:pt idx="48">
                  <c:v>100000</c:v>
                </c:pt>
                <c:pt idx="49">
                  <c:v>120000</c:v>
                </c:pt>
                <c:pt idx="50">
                  <c:v>120000</c:v>
                </c:pt>
                <c:pt idx="51">
                  <c:v>150000</c:v>
                </c:pt>
                <c:pt idx="52">
                  <c:v>180000</c:v>
                </c:pt>
                <c:pt idx="53">
                  <c:v>180000</c:v>
                </c:pt>
                <c:pt idx="54">
                  <c:v>295000</c:v>
                </c:pt>
                <c:pt idx="55">
                  <c:v>396000</c:v>
                </c:pt>
                <c:pt idx="56">
                  <c:v>500000</c:v>
                </c:pt>
                <c:pt idx="57">
                  <c:v>80000</c:v>
                </c:pt>
                <c:pt idx="58">
                  <c:v>90000</c:v>
                </c:pt>
                <c:pt idx="59">
                  <c:v>114000</c:v>
                </c:pt>
                <c:pt idx="60">
                  <c:v>151000</c:v>
                </c:pt>
                <c:pt idx="61">
                  <c:v>189000</c:v>
                </c:pt>
                <c:pt idx="62">
                  <c:v>227000</c:v>
                </c:pt>
                <c:pt idx="63">
                  <c:v>47000</c:v>
                </c:pt>
              </c:numCache>
            </c:numRef>
          </c:xVal>
          <c:yVal>
            <c:numRef>
              <c:f>Courbe!$R$2:$R$65</c:f>
              <c:numCache>
                <c:formatCode>_ * #\ ##0_)\ "$"_ ;_ * \(#\ ##0\)\ "$"_ ;_ * "-"??_)\ "$"_ ;_ @_ </c:formatCode>
                <c:ptCount val="64"/>
                <c:pt idx="0">
                  <c:v>3960</c:v>
                </c:pt>
                <c:pt idx="1">
                  <c:v>4395</c:v>
                </c:pt>
                <c:pt idx="2">
                  <c:v>4564</c:v>
                </c:pt>
                <c:pt idx="3">
                  <c:v>4880</c:v>
                </c:pt>
                <c:pt idx="4">
                  <c:v>5740</c:v>
                </c:pt>
                <c:pt idx="5">
                  <c:v>6550</c:v>
                </c:pt>
                <c:pt idx="6">
                  <c:v>3960</c:v>
                </c:pt>
                <c:pt idx="7">
                  <c:v>4395</c:v>
                </c:pt>
                <c:pt idx="8">
                  <c:v>4564</c:v>
                </c:pt>
                <c:pt idx="9">
                  <c:v>4880</c:v>
                </c:pt>
                <c:pt idx="10">
                  <c:v>5740</c:v>
                </c:pt>
                <c:pt idx="11">
                  <c:v>6550</c:v>
                </c:pt>
                <c:pt idx="12">
                  <c:v>3887</c:v>
                </c:pt>
                <c:pt idx="13">
                  <c:v>4295.5</c:v>
                </c:pt>
                <c:pt idx="14">
                  <c:v>4462.5</c:v>
                </c:pt>
                <c:pt idx="15">
                  <c:v>4756</c:v>
                </c:pt>
                <c:pt idx="16">
                  <c:v>5572.5</c:v>
                </c:pt>
                <c:pt idx="17">
                  <c:v>6340.5</c:v>
                </c:pt>
                <c:pt idx="18">
                  <c:v>3887</c:v>
                </c:pt>
                <c:pt idx="19">
                  <c:v>4295.5</c:v>
                </c:pt>
                <c:pt idx="20">
                  <c:v>4462.5</c:v>
                </c:pt>
                <c:pt idx="21">
                  <c:v>4756</c:v>
                </c:pt>
                <c:pt idx="22">
                  <c:v>5572.5</c:v>
                </c:pt>
                <c:pt idx="23">
                  <c:v>6340.5</c:v>
                </c:pt>
                <c:pt idx="24">
                  <c:v>6820</c:v>
                </c:pt>
                <c:pt idx="25">
                  <c:v>7217.5</c:v>
                </c:pt>
                <c:pt idx="26">
                  <c:v>7775</c:v>
                </c:pt>
                <c:pt idx="27">
                  <c:v>4147.5</c:v>
                </c:pt>
                <c:pt idx="28">
                  <c:v>4557.5</c:v>
                </c:pt>
                <c:pt idx="29">
                  <c:v>4711.5</c:v>
                </c:pt>
                <c:pt idx="30">
                  <c:v>4782.5</c:v>
                </c:pt>
                <c:pt idx="31">
                  <c:v>5109</c:v>
                </c:pt>
                <c:pt idx="32">
                  <c:v>5240</c:v>
                </c:pt>
                <c:pt idx="33">
                  <c:v>5625</c:v>
                </c:pt>
                <c:pt idx="34">
                  <c:v>3505</c:v>
                </c:pt>
                <c:pt idx="35">
                  <c:v>3605</c:v>
                </c:pt>
                <c:pt idx="36">
                  <c:v>3870</c:v>
                </c:pt>
                <c:pt idx="37">
                  <c:v>3462</c:v>
                </c:pt>
                <c:pt idx="38">
                  <c:v>4650</c:v>
                </c:pt>
                <c:pt idx="39">
                  <c:v>4900</c:v>
                </c:pt>
                <c:pt idx="40">
                  <c:v>5450</c:v>
                </c:pt>
                <c:pt idx="41">
                  <c:v>6150</c:v>
                </c:pt>
                <c:pt idx="42">
                  <c:v>3055.13</c:v>
                </c:pt>
                <c:pt idx="43">
                  <c:v>3287.5</c:v>
                </c:pt>
                <c:pt idx="44">
                  <c:v>4265</c:v>
                </c:pt>
                <c:pt idx="45">
                  <c:v>4450</c:v>
                </c:pt>
                <c:pt idx="46">
                  <c:v>4995</c:v>
                </c:pt>
                <c:pt idx="47">
                  <c:v>5595</c:v>
                </c:pt>
                <c:pt idx="48">
                  <c:v>4907.5</c:v>
                </c:pt>
                <c:pt idx="49">
                  <c:v>5020</c:v>
                </c:pt>
                <c:pt idx="50">
                  <c:v>5200</c:v>
                </c:pt>
                <c:pt idx="51">
                  <c:v>5282.5</c:v>
                </c:pt>
                <c:pt idx="52">
                  <c:v>5502.5</c:v>
                </c:pt>
                <c:pt idx="53">
                  <c:v>5650</c:v>
                </c:pt>
                <c:pt idx="54">
                  <c:v>8577.5</c:v>
                </c:pt>
                <c:pt idx="55">
                  <c:v>9785</c:v>
                </c:pt>
                <c:pt idx="56">
                  <c:v>12485</c:v>
                </c:pt>
                <c:pt idx="57">
                  <c:v>4902.5</c:v>
                </c:pt>
                <c:pt idx="58">
                  <c:v>4905</c:v>
                </c:pt>
                <c:pt idx="59">
                  <c:v>3600</c:v>
                </c:pt>
                <c:pt idx="60">
                  <c:v>3787.5</c:v>
                </c:pt>
                <c:pt idx="61">
                  <c:v>3962.5</c:v>
                </c:pt>
                <c:pt idx="62">
                  <c:v>4137.5</c:v>
                </c:pt>
                <c:pt idx="63">
                  <c:v>3350</c:v>
                </c:pt>
              </c:numCache>
            </c:numRef>
          </c:yVal>
          <c:smooth val="0"/>
          <c:extLst>
            <c:ext xmlns:c16="http://schemas.microsoft.com/office/drawing/2014/chart" uri="{C3380CC4-5D6E-409C-BE32-E72D297353CC}">
              <c16:uniqueId val="{00000000-18FB-4EDB-9744-52E5205CEA1E}"/>
            </c:ext>
          </c:extLst>
        </c:ser>
        <c:ser>
          <c:idx val="1"/>
          <c:order val="1"/>
          <c:tx>
            <c:v>Aide financière vs Capacité des appareils installés</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f>Courbe!$G$2:$G$65</c:f>
              <c:numCache>
                <c:formatCode>#,##0</c:formatCode>
                <c:ptCount val="64"/>
                <c:pt idx="0">
                  <c:v>50000</c:v>
                </c:pt>
                <c:pt idx="1">
                  <c:v>100000</c:v>
                </c:pt>
                <c:pt idx="2">
                  <c:v>150000</c:v>
                </c:pt>
                <c:pt idx="3">
                  <c:v>200000</c:v>
                </c:pt>
                <c:pt idx="4">
                  <c:v>300000</c:v>
                </c:pt>
                <c:pt idx="5">
                  <c:v>400000</c:v>
                </c:pt>
                <c:pt idx="6">
                  <c:v>50000</c:v>
                </c:pt>
                <c:pt idx="7">
                  <c:v>100000</c:v>
                </c:pt>
                <c:pt idx="8">
                  <c:v>150000</c:v>
                </c:pt>
                <c:pt idx="9">
                  <c:v>200000</c:v>
                </c:pt>
                <c:pt idx="10">
                  <c:v>300000</c:v>
                </c:pt>
                <c:pt idx="11">
                  <c:v>400000</c:v>
                </c:pt>
                <c:pt idx="12">
                  <c:v>50000</c:v>
                </c:pt>
                <c:pt idx="13">
                  <c:v>100000</c:v>
                </c:pt>
                <c:pt idx="14">
                  <c:v>150000</c:v>
                </c:pt>
                <c:pt idx="15">
                  <c:v>200000</c:v>
                </c:pt>
                <c:pt idx="16">
                  <c:v>300000</c:v>
                </c:pt>
                <c:pt idx="17">
                  <c:v>400000</c:v>
                </c:pt>
                <c:pt idx="18">
                  <c:v>50000</c:v>
                </c:pt>
                <c:pt idx="19">
                  <c:v>100000</c:v>
                </c:pt>
                <c:pt idx="20">
                  <c:v>150000</c:v>
                </c:pt>
                <c:pt idx="21">
                  <c:v>200000</c:v>
                </c:pt>
                <c:pt idx="22">
                  <c:v>300000</c:v>
                </c:pt>
                <c:pt idx="23">
                  <c:v>400000</c:v>
                </c:pt>
                <c:pt idx="24">
                  <c:v>215000</c:v>
                </c:pt>
                <c:pt idx="25">
                  <c:v>260000</c:v>
                </c:pt>
                <c:pt idx="26">
                  <c:v>310000</c:v>
                </c:pt>
                <c:pt idx="27">
                  <c:v>110000</c:v>
                </c:pt>
                <c:pt idx="28">
                  <c:v>135000</c:v>
                </c:pt>
                <c:pt idx="29">
                  <c:v>155000</c:v>
                </c:pt>
                <c:pt idx="30">
                  <c:v>180000</c:v>
                </c:pt>
                <c:pt idx="31">
                  <c:v>215000</c:v>
                </c:pt>
                <c:pt idx="32">
                  <c:v>260000</c:v>
                </c:pt>
                <c:pt idx="33">
                  <c:v>310000</c:v>
                </c:pt>
                <c:pt idx="34">
                  <c:v>55000</c:v>
                </c:pt>
                <c:pt idx="35">
                  <c:v>65000</c:v>
                </c:pt>
                <c:pt idx="36">
                  <c:v>85000</c:v>
                </c:pt>
                <c:pt idx="37">
                  <c:v>110000</c:v>
                </c:pt>
                <c:pt idx="38">
                  <c:v>130000</c:v>
                </c:pt>
                <c:pt idx="39">
                  <c:v>175000</c:v>
                </c:pt>
                <c:pt idx="40">
                  <c:v>260000</c:v>
                </c:pt>
                <c:pt idx="41">
                  <c:v>305000</c:v>
                </c:pt>
                <c:pt idx="42">
                  <c:v>55000</c:v>
                </c:pt>
                <c:pt idx="43">
                  <c:v>85000</c:v>
                </c:pt>
                <c:pt idx="44">
                  <c:v>130000</c:v>
                </c:pt>
                <c:pt idx="45">
                  <c:v>180000</c:v>
                </c:pt>
                <c:pt idx="46">
                  <c:v>260000</c:v>
                </c:pt>
                <c:pt idx="47">
                  <c:v>310000</c:v>
                </c:pt>
                <c:pt idx="48">
                  <c:v>100000</c:v>
                </c:pt>
                <c:pt idx="49">
                  <c:v>120000</c:v>
                </c:pt>
                <c:pt idx="50">
                  <c:v>120000</c:v>
                </c:pt>
                <c:pt idx="51">
                  <c:v>150000</c:v>
                </c:pt>
                <c:pt idx="52">
                  <c:v>180000</c:v>
                </c:pt>
                <c:pt idx="53">
                  <c:v>180000</c:v>
                </c:pt>
                <c:pt idx="54">
                  <c:v>295000</c:v>
                </c:pt>
                <c:pt idx="55">
                  <c:v>396000</c:v>
                </c:pt>
                <c:pt idx="56">
                  <c:v>500000</c:v>
                </c:pt>
                <c:pt idx="57">
                  <c:v>80000</c:v>
                </c:pt>
                <c:pt idx="58">
                  <c:v>90000</c:v>
                </c:pt>
                <c:pt idx="59">
                  <c:v>114000</c:v>
                </c:pt>
                <c:pt idx="60">
                  <c:v>151000</c:v>
                </c:pt>
                <c:pt idx="61">
                  <c:v>189000</c:v>
                </c:pt>
                <c:pt idx="62">
                  <c:v>227000</c:v>
                </c:pt>
                <c:pt idx="63">
                  <c:v>47000</c:v>
                </c:pt>
              </c:numCache>
            </c:numRef>
          </c:xVal>
          <c:yVal>
            <c:numRef>
              <c:f>Courbe!$S$2:$S$65</c:f>
              <c:numCache>
                <c:formatCode>General</c:formatCode>
                <c:ptCount val="64"/>
                <c:pt idx="0">
                  <c:v>2250</c:v>
                </c:pt>
                <c:pt idx="1">
                  <c:v>2500</c:v>
                </c:pt>
                <c:pt idx="2">
                  <c:v>2750</c:v>
                </c:pt>
                <c:pt idx="3">
                  <c:v>3000</c:v>
                </c:pt>
                <c:pt idx="4">
                  <c:v>3500</c:v>
                </c:pt>
                <c:pt idx="5">
                  <c:v>4000</c:v>
                </c:pt>
                <c:pt idx="6">
                  <c:v>2250</c:v>
                </c:pt>
                <c:pt idx="7">
                  <c:v>2500</c:v>
                </c:pt>
                <c:pt idx="8">
                  <c:v>2750</c:v>
                </c:pt>
                <c:pt idx="9">
                  <c:v>3000</c:v>
                </c:pt>
                <c:pt idx="10">
                  <c:v>3500</c:v>
                </c:pt>
                <c:pt idx="11">
                  <c:v>4000</c:v>
                </c:pt>
                <c:pt idx="12">
                  <c:v>2250</c:v>
                </c:pt>
                <c:pt idx="13">
                  <c:v>2500</c:v>
                </c:pt>
                <c:pt idx="14">
                  <c:v>2750</c:v>
                </c:pt>
                <c:pt idx="15">
                  <c:v>3000</c:v>
                </c:pt>
                <c:pt idx="16">
                  <c:v>3500</c:v>
                </c:pt>
                <c:pt idx="17">
                  <c:v>4000</c:v>
                </c:pt>
                <c:pt idx="18">
                  <c:v>2250</c:v>
                </c:pt>
                <c:pt idx="19">
                  <c:v>2500</c:v>
                </c:pt>
                <c:pt idx="20">
                  <c:v>2750</c:v>
                </c:pt>
                <c:pt idx="21">
                  <c:v>3000</c:v>
                </c:pt>
                <c:pt idx="22">
                  <c:v>3500</c:v>
                </c:pt>
                <c:pt idx="23">
                  <c:v>4000</c:v>
                </c:pt>
                <c:pt idx="24">
                  <c:v>3075</c:v>
                </c:pt>
                <c:pt idx="25">
                  <c:v>3300</c:v>
                </c:pt>
                <c:pt idx="26">
                  <c:v>3550</c:v>
                </c:pt>
                <c:pt idx="27">
                  <c:v>2550</c:v>
                </c:pt>
                <c:pt idx="28">
                  <c:v>2675</c:v>
                </c:pt>
                <c:pt idx="29">
                  <c:v>2775</c:v>
                </c:pt>
                <c:pt idx="30">
                  <c:v>2900</c:v>
                </c:pt>
                <c:pt idx="31">
                  <c:v>3075</c:v>
                </c:pt>
                <c:pt idx="32">
                  <c:v>3300</c:v>
                </c:pt>
                <c:pt idx="33">
                  <c:v>3550</c:v>
                </c:pt>
                <c:pt idx="34">
                  <c:v>2275</c:v>
                </c:pt>
                <c:pt idx="35">
                  <c:v>2325</c:v>
                </c:pt>
                <c:pt idx="36">
                  <c:v>2425</c:v>
                </c:pt>
                <c:pt idx="37">
                  <c:v>2550</c:v>
                </c:pt>
                <c:pt idx="38">
                  <c:v>2650</c:v>
                </c:pt>
                <c:pt idx="39">
                  <c:v>2875</c:v>
                </c:pt>
                <c:pt idx="40">
                  <c:v>3300</c:v>
                </c:pt>
                <c:pt idx="41">
                  <c:v>3525</c:v>
                </c:pt>
                <c:pt idx="42">
                  <c:v>2275</c:v>
                </c:pt>
                <c:pt idx="43">
                  <c:v>2425</c:v>
                </c:pt>
                <c:pt idx="44">
                  <c:v>2650</c:v>
                </c:pt>
                <c:pt idx="45">
                  <c:v>2900</c:v>
                </c:pt>
                <c:pt idx="46">
                  <c:v>3300</c:v>
                </c:pt>
                <c:pt idx="47">
                  <c:v>3550</c:v>
                </c:pt>
                <c:pt idx="48">
                  <c:v>2500</c:v>
                </c:pt>
                <c:pt idx="49">
                  <c:v>2600</c:v>
                </c:pt>
                <c:pt idx="50">
                  <c:v>2600</c:v>
                </c:pt>
                <c:pt idx="51">
                  <c:v>2750</c:v>
                </c:pt>
                <c:pt idx="52">
                  <c:v>2900</c:v>
                </c:pt>
                <c:pt idx="53">
                  <c:v>2900</c:v>
                </c:pt>
                <c:pt idx="54">
                  <c:v>3475</c:v>
                </c:pt>
                <c:pt idx="55">
                  <c:v>3980</c:v>
                </c:pt>
                <c:pt idx="56">
                  <c:v>4500</c:v>
                </c:pt>
                <c:pt idx="57">
                  <c:v>2400</c:v>
                </c:pt>
                <c:pt idx="58">
                  <c:v>2450</c:v>
                </c:pt>
                <c:pt idx="59">
                  <c:v>2570</c:v>
                </c:pt>
                <c:pt idx="60">
                  <c:v>2755</c:v>
                </c:pt>
                <c:pt idx="61">
                  <c:v>2945</c:v>
                </c:pt>
                <c:pt idx="62">
                  <c:v>3135</c:v>
                </c:pt>
                <c:pt idx="63">
                  <c:v>2235</c:v>
                </c:pt>
              </c:numCache>
            </c:numRef>
          </c:yVal>
          <c:smooth val="0"/>
          <c:extLst>
            <c:ext xmlns:c16="http://schemas.microsoft.com/office/drawing/2014/chart" uri="{C3380CC4-5D6E-409C-BE32-E72D297353CC}">
              <c16:uniqueId val="{00000001-9AD3-43CD-AA23-343C6B16CDBA}"/>
            </c:ext>
          </c:extLst>
        </c:ser>
        <c:ser>
          <c:idx val="2"/>
          <c:order val="2"/>
          <c:tx>
            <c:v>Surcout equipement</c:v>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poly"/>
            <c:order val="2"/>
            <c:dispRSqr val="0"/>
            <c:dispEq val="1"/>
            <c:trendlineLbl>
              <c:layout>
                <c:manualLayout>
                  <c:x val="5.9709407823710897E-2"/>
                  <c:y val="0.2881100560370456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Courbe!$G$2:$G$65</c:f>
              <c:numCache>
                <c:formatCode>#,##0</c:formatCode>
                <c:ptCount val="64"/>
                <c:pt idx="0">
                  <c:v>50000</c:v>
                </c:pt>
                <c:pt idx="1">
                  <c:v>100000</c:v>
                </c:pt>
                <c:pt idx="2">
                  <c:v>150000</c:v>
                </c:pt>
                <c:pt idx="3">
                  <c:v>200000</c:v>
                </c:pt>
                <c:pt idx="4">
                  <c:v>300000</c:v>
                </c:pt>
                <c:pt idx="5">
                  <c:v>400000</c:v>
                </c:pt>
                <c:pt idx="6">
                  <c:v>50000</c:v>
                </c:pt>
                <c:pt idx="7">
                  <c:v>100000</c:v>
                </c:pt>
                <c:pt idx="8">
                  <c:v>150000</c:v>
                </c:pt>
                <c:pt idx="9">
                  <c:v>200000</c:v>
                </c:pt>
                <c:pt idx="10">
                  <c:v>300000</c:v>
                </c:pt>
                <c:pt idx="11">
                  <c:v>400000</c:v>
                </c:pt>
                <c:pt idx="12">
                  <c:v>50000</c:v>
                </c:pt>
                <c:pt idx="13">
                  <c:v>100000</c:v>
                </c:pt>
                <c:pt idx="14">
                  <c:v>150000</c:v>
                </c:pt>
                <c:pt idx="15">
                  <c:v>200000</c:v>
                </c:pt>
                <c:pt idx="16">
                  <c:v>300000</c:v>
                </c:pt>
                <c:pt idx="17">
                  <c:v>400000</c:v>
                </c:pt>
                <c:pt idx="18">
                  <c:v>50000</c:v>
                </c:pt>
                <c:pt idx="19">
                  <c:v>100000</c:v>
                </c:pt>
                <c:pt idx="20">
                  <c:v>150000</c:v>
                </c:pt>
                <c:pt idx="21">
                  <c:v>200000</c:v>
                </c:pt>
                <c:pt idx="22">
                  <c:v>300000</c:v>
                </c:pt>
                <c:pt idx="23">
                  <c:v>400000</c:v>
                </c:pt>
                <c:pt idx="24">
                  <c:v>215000</c:v>
                </c:pt>
                <c:pt idx="25">
                  <c:v>260000</c:v>
                </c:pt>
                <c:pt idx="26">
                  <c:v>310000</c:v>
                </c:pt>
                <c:pt idx="27">
                  <c:v>110000</c:v>
                </c:pt>
                <c:pt idx="28">
                  <c:v>135000</c:v>
                </c:pt>
                <c:pt idx="29">
                  <c:v>155000</c:v>
                </c:pt>
                <c:pt idx="30">
                  <c:v>180000</c:v>
                </c:pt>
                <c:pt idx="31">
                  <c:v>215000</c:v>
                </c:pt>
                <c:pt idx="32">
                  <c:v>260000</c:v>
                </c:pt>
                <c:pt idx="33">
                  <c:v>310000</c:v>
                </c:pt>
                <c:pt idx="34">
                  <c:v>55000</c:v>
                </c:pt>
                <c:pt idx="35">
                  <c:v>65000</c:v>
                </c:pt>
                <c:pt idx="36">
                  <c:v>85000</c:v>
                </c:pt>
                <c:pt idx="37">
                  <c:v>110000</c:v>
                </c:pt>
                <c:pt idx="38">
                  <c:v>130000</c:v>
                </c:pt>
                <c:pt idx="39">
                  <c:v>175000</c:v>
                </c:pt>
                <c:pt idx="40">
                  <c:v>260000</c:v>
                </c:pt>
                <c:pt idx="41">
                  <c:v>305000</c:v>
                </c:pt>
                <c:pt idx="42">
                  <c:v>55000</c:v>
                </c:pt>
                <c:pt idx="43">
                  <c:v>85000</c:v>
                </c:pt>
                <c:pt idx="44">
                  <c:v>130000</c:v>
                </c:pt>
                <c:pt idx="45">
                  <c:v>180000</c:v>
                </c:pt>
                <c:pt idx="46">
                  <c:v>260000</c:v>
                </c:pt>
                <c:pt idx="47">
                  <c:v>310000</c:v>
                </c:pt>
                <c:pt idx="48">
                  <c:v>100000</c:v>
                </c:pt>
                <c:pt idx="49">
                  <c:v>120000</c:v>
                </c:pt>
                <c:pt idx="50">
                  <c:v>120000</c:v>
                </c:pt>
                <c:pt idx="51">
                  <c:v>150000</c:v>
                </c:pt>
                <c:pt idx="52">
                  <c:v>180000</c:v>
                </c:pt>
                <c:pt idx="53">
                  <c:v>180000</c:v>
                </c:pt>
                <c:pt idx="54">
                  <c:v>295000</c:v>
                </c:pt>
                <c:pt idx="55">
                  <c:v>396000</c:v>
                </c:pt>
                <c:pt idx="56">
                  <c:v>500000</c:v>
                </c:pt>
                <c:pt idx="57">
                  <c:v>80000</c:v>
                </c:pt>
                <c:pt idx="58">
                  <c:v>90000</c:v>
                </c:pt>
                <c:pt idx="59">
                  <c:v>114000</c:v>
                </c:pt>
                <c:pt idx="60">
                  <c:v>151000</c:v>
                </c:pt>
                <c:pt idx="61">
                  <c:v>189000</c:v>
                </c:pt>
                <c:pt idx="62">
                  <c:v>227000</c:v>
                </c:pt>
                <c:pt idx="63">
                  <c:v>47000</c:v>
                </c:pt>
              </c:numCache>
            </c:numRef>
          </c:xVal>
          <c:yVal>
            <c:numRef>
              <c:f>Courbe!$Q$2:$Q$65</c:f>
              <c:numCache>
                <c:formatCode>_ * #\ ##0_)\ "$"_ ;_ * \(#\ ##0\)\ "$"_ ;_ * "-"??_)\ "$"_ ;_ @_ </c:formatCode>
                <c:ptCount val="64"/>
                <c:pt idx="0">
                  <c:v>1560</c:v>
                </c:pt>
                <c:pt idx="1">
                  <c:v>1995</c:v>
                </c:pt>
                <c:pt idx="2">
                  <c:v>2164</c:v>
                </c:pt>
                <c:pt idx="3">
                  <c:v>2480</c:v>
                </c:pt>
                <c:pt idx="4">
                  <c:v>3340</c:v>
                </c:pt>
                <c:pt idx="5">
                  <c:v>4150</c:v>
                </c:pt>
                <c:pt idx="6">
                  <c:v>1560</c:v>
                </c:pt>
                <c:pt idx="7">
                  <c:v>1995</c:v>
                </c:pt>
                <c:pt idx="8">
                  <c:v>2164</c:v>
                </c:pt>
                <c:pt idx="9">
                  <c:v>2480</c:v>
                </c:pt>
                <c:pt idx="10">
                  <c:v>3340</c:v>
                </c:pt>
                <c:pt idx="11">
                  <c:v>4150</c:v>
                </c:pt>
                <c:pt idx="12">
                  <c:v>1487</c:v>
                </c:pt>
                <c:pt idx="13">
                  <c:v>1895.5</c:v>
                </c:pt>
                <c:pt idx="14">
                  <c:v>2062.5</c:v>
                </c:pt>
                <c:pt idx="15">
                  <c:v>2356</c:v>
                </c:pt>
                <c:pt idx="16">
                  <c:v>3172.5</c:v>
                </c:pt>
                <c:pt idx="17">
                  <c:v>3940.5</c:v>
                </c:pt>
                <c:pt idx="18">
                  <c:v>1487</c:v>
                </c:pt>
                <c:pt idx="19">
                  <c:v>1895.5</c:v>
                </c:pt>
                <c:pt idx="20">
                  <c:v>2062.5</c:v>
                </c:pt>
                <c:pt idx="21">
                  <c:v>2356</c:v>
                </c:pt>
                <c:pt idx="22">
                  <c:v>3172.5</c:v>
                </c:pt>
                <c:pt idx="23">
                  <c:v>3940.5</c:v>
                </c:pt>
                <c:pt idx="24">
                  <c:v>4420</c:v>
                </c:pt>
                <c:pt idx="25">
                  <c:v>4817.5</c:v>
                </c:pt>
                <c:pt idx="26">
                  <c:v>5375</c:v>
                </c:pt>
                <c:pt idx="27">
                  <c:v>1747.5</c:v>
                </c:pt>
                <c:pt idx="28">
                  <c:v>2157.5</c:v>
                </c:pt>
                <c:pt idx="29">
                  <c:v>2311.5</c:v>
                </c:pt>
                <c:pt idx="30">
                  <c:v>2382.5</c:v>
                </c:pt>
                <c:pt idx="31">
                  <c:v>2709</c:v>
                </c:pt>
                <c:pt idx="32">
                  <c:v>2840</c:v>
                </c:pt>
                <c:pt idx="33">
                  <c:v>3225</c:v>
                </c:pt>
                <c:pt idx="34">
                  <c:v>1105</c:v>
                </c:pt>
                <c:pt idx="35">
                  <c:v>1205</c:v>
                </c:pt>
                <c:pt idx="36">
                  <c:v>1470</c:v>
                </c:pt>
                <c:pt idx="37">
                  <c:v>1062</c:v>
                </c:pt>
                <c:pt idx="38">
                  <c:v>2250</c:v>
                </c:pt>
                <c:pt idx="39">
                  <c:v>2500</c:v>
                </c:pt>
                <c:pt idx="40">
                  <c:v>3050</c:v>
                </c:pt>
                <c:pt idx="41">
                  <c:v>3750</c:v>
                </c:pt>
                <c:pt idx="42">
                  <c:v>655.13</c:v>
                </c:pt>
                <c:pt idx="43">
                  <c:v>887.5</c:v>
                </c:pt>
                <c:pt idx="44">
                  <c:v>1865</c:v>
                </c:pt>
                <c:pt idx="45">
                  <c:v>2050</c:v>
                </c:pt>
                <c:pt idx="46">
                  <c:v>2595</c:v>
                </c:pt>
                <c:pt idx="47">
                  <c:v>3195</c:v>
                </c:pt>
                <c:pt idx="48">
                  <c:v>2507.5</c:v>
                </c:pt>
                <c:pt idx="49">
                  <c:v>2620</c:v>
                </c:pt>
                <c:pt idx="50">
                  <c:v>2800</c:v>
                </c:pt>
                <c:pt idx="51">
                  <c:v>2882.5</c:v>
                </c:pt>
                <c:pt idx="52">
                  <c:v>3102.5</c:v>
                </c:pt>
                <c:pt idx="53">
                  <c:v>3250</c:v>
                </c:pt>
                <c:pt idx="54">
                  <c:v>6177.5</c:v>
                </c:pt>
                <c:pt idx="55">
                  <c:v>7385</c:v>
                </c:pt>
                <c:pt idx="56">
                  <c:v>10085</c:v>
                </c:pt>
                <c:pt idx="57">
                  <c:v>2502.5</c:v>
                </c:pt>
                <c:pt idx="58">
                  <c:v>2505</c:v>
                </c:pt>
                <c:pt idx="59">
                  <c:v>1200</c:v>
                </c:pt>
                <c:pt idx="60">
                  <c:v>1387.5</c:v>
                </c:pt>
                <c:pt idx="61">
                  <c:v>1562.5</c:v>
                </c:pt>
                <c:pt idx="62">
                  <c:v>1737.5</c:v>
                </c:pt>
                <c:pt idx="63">
                  <c:v>950</c:v>
                </c:pt>
              </c:numCache>
            </c:numRef>
          </c:yVal>
          <c:smooth val="0"/>
          <c:extLst>
            <c:ext xmlns:c16="http://schemas.microsoft.com/office/drawing/2014/chart" uri="{C3380CC4-5D6E-409C-BE32-E72D297353CC}">
              <c16:uniqueId val="{00000003-1EA9-4B27-BE78-3600005328A2}"/>
            </c:ext>
          </c:extLst>
        </c:ser>
        <c:dLbls>
          <c:showLegendKey val="0"/>
          <c:showVal val="0"/>
          <c:showCatName val="0"/>
          <c:showSerName val="0"/>
          <c:showPercent val="0"/>
          <c:showBubbleSize val="0"/>
        </c:dLbls>
        <c:axId val="888987992"/>
        <c:axId val="888989072"/>
      </c:scatterChart>
      <c:valAx>
        <c:axId val="888987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Puissance</a:t>
                </a:r>
                <a:r>
                  <a:rPr lang="fr-CA" baseline="0"/>
                  <a:t> des appareils</a:t>
                </a:r>
              </a:p>
              <a:p>
                <a:pPr>
                  <a:defRPr/>
                </a:pPr>
                <a:r>
                  <a:rPr lang="fr-CA" baseline="0"/>
                  <a:t>(Btu/h)</a:t>
                </a:r>
                <a:endParaRPr lang="fr-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8989072"/>
        <c:crosses val="autoZero"/>
        <c:crossBetween val="midCat"/>
      </c:valAx>
      <c:valAx>
        <c:axId val="88898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Montants</a:t>
                </a:r>
                <a:r>
                  <a:rPr lang="fr-CA" baseline="0"/>
                  <a:t> ($)</a:t>
                </a:r>
                <a:endParaRPr lang="fr-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CA"/>
            </a:p>
          </c:txPr>
        </c:title>
        <c:numFmt formatCode="_ * #\ ##0_)\ &quot;$&quot;_ ;_ * \(#\ ##0\)\ &quot;$&quot;_ ;_ * &quot;-&quot;??_)\ &quot;$&quot;_ ;_ @_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8987992"/>
        <c:crosses val="autoZero"/>
        <c:crossBetween val="midCat"/>
      </c:valAx>
      <c:spPr>
        <a:noFill/>
        <a:ln>
          <a:noFill/>
        </a:ln>
        <a:effectLst/>
      </c:spPr>
    </c:plotArea>
    <c:legend>
      <c:legendPos val="r"/>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160480</xdr:colOff>
      <xdr:row>0</xdr:row>
      <xdr:rowOff>56364</xdr:rowOff>
    </xdr:from>
    <xdr:to>
      <xdr:col>3</xdr:col>
      <xdr:colOff>1926700</xdr:colOff>
      <xdr:row>1</xdr:row>
      <xdr:rowOff>54157</xdr:rowOff>
    </xdr:to>
    <xdr:pic>
      <xdr:nvPicPr>
        <xdr:cNvPr id="5" name="Picture 4">
          <a:extLst>
            <a:ext uri="{FF2B5EF4-FFF2-40B4-BE49-F238E27FC236}">
              <a16:creationId xmlns:a16="http://schemas.microsoft.com/office/drawing/2014/main" id="{158D94F3-3671-2D85-805C-CA5BE3E49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545" y="56364"/>
          <a:ext cx="2191781" cy="822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156210</xdr:colOff>
      <xdr:row>46</xdr:row>
      <xdr:rowOff>121920</xdr:rowOff>
    </xdr:from>
    <xdr:to>
      <xdr:col>5</xdr:col>
      <xdr:colOff>862965</xdr:colOff>
      <xdr:row>47</xdr:row>
      <xdr:rowOff>262890</xdr:rowOff>
    </xdr:to>
    <xdr:sp macro="" textlink="">
      <xdr:nvSpPr>
        <xdr:cNvPr id="3" name="Triangle isocèle 8">
          <a:extLst>
            <a:ext uri="{FF2B5EF4-FFF2-40B4-BE49-F238E27FC236}">
              <a16:creationId xmlns:a16="http://schemas.microsoft.com/office/drawing/2014/main" id="{0FAD51A2-2C17-4514-9225-05FF21C049E4}"/>
            </a:ext>
          </a:extLst>
        </xdr:cNvPr>
        <xdr:cNvSpPr/>
      </xdr:nvSpPr>
      <xdr:spPr>
        <a:xfrm flipV="1">
          <a:off x="3829050" y="6903720"/>
          <a:ext cx="706755" cy="32385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tIns="108000" rIns="144000" bIns="108000" rtlCol="0" anchor="ctr">
          <a:noAutofit/>
        </a:bodyPr>
        <a:lstStyle/>
        <a:p>
          <a:pPr algn="l">
            <a:spcBef>
              <a:spcPts val="600"/>
            </a:spcBef>
          </a:pPr>
          <a:endParaRPr lang="fr-CA" sz="1600" b="1" dirty="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489501</xdr:colOff>
      <xdr:row>188</xdr:row>
      <xdr:rowOff>165072</xdr:rowOff>
    </xdr:from>
    <xdr:to>
      <xdr:col>6</xdr:col>
      <xdr:colOff>198120</xdr:colOff>
      <xdr:row>219</xdr:row>
      <xdr:rowOff>106680</xdr:rowOff>
    </xdr:to>
    <xdr:graphicFrame macro="">
      <xdr:nvGraphicFramePr>
        <xdr:cNvPr id="2" name="Chart 1">
          <a:extLst>
            <a:ext uri="{FF2B5EF4-FFF2-40B4-BE49-F238E27FC236}">
              <a16:creationId xmlns:a16="http://schemas.microsoft.com/office/drawing/2014/main" id="{D8E4829E-65B9-41EB-8938-EB50FDFD6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182880</xdr:colOff>
      <xdr:row>0</xdr:row>
      <xdr:rowOff>171450</xdr:rowOff>
    </xdr:from>
    <xdr:to>
      <xdr:col>15</xdr:col>
      <xdr:colOff>76200</xdr:colOff>
      <xdr:row>21</xdr:row>
      <xdr:rowOff>160020</xdr:rowOff>
    </xdr:to>
    <xdr:graphicFrame macro="">
      <xdr:nvGraphicFramePr>
        <xdr:cNvPr id="2" name="Chart 1">
          <a:extLst>
            <a:ext uri="{FF2B5EF4-FFF2-40B4-BE49-F238E27FC236}">
              <a16:creationId xmlns:a16="http://schemas.microsoft.com/office/drawing/2014/main" id="{FA355ADA-E34B-78EC-75BF-203128BC6B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44450</xdr:colOff>
      <xdr:row>2</xdr:row>
      <xdr:rowOff>33337</xdr:rowOff>
    </xdr:from>
    <xdr:to>
      <xdr:col>27</xdr:col>
      <xdr:colOff>673100</xdr:colOff>
      <xdr:row>17</xdr:row>
      <xdr:rowOff>65087</xdr:rowOff>
    </xdr:to>
    <xdr:graphicFrame macro="">
      <xdr:nvGraphicFramePr>
        <xdr:cNvPr id="2" name="Graphique 1">
          <a:extLst>
            <a:ext uri="{FF2B5EF4-FFF2-40B4-BE49-F238E27FC236}">
              <a16:creationId xmlns:a16="http://schemas.microsoft.com/office/drawing/2014/main" id="{2852E1B6-32FA-A34C-58CE-B2BB4B64C3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594360</xdr:colOff>
      <xdr:row>24</xdr:row>
      <xdr:rowOff>38100</xdr:rowOff>
    </xdr:from>
    <xdr:to>
      <xdr:col>6</xdr:col>
      <xdr:colOff>15240</xdr:colOff>
      <xdr:row>32</xdr:row>
      <xdr:rowOff>95885</xdr:rowOff>
    </xdr:to>
    <xdr:pic>
      <xdr:nvPicPr>
        <xdr:cNvPr id="2" name="Image 1" descr="Une image contenant texte, capture d’écran, Police, ligne&#10;&#10;Le contenu généré par l’IA peut être incorrect.">
          <a:extLst>
            <a:ext uri="{FF2B5EF4-FFF2-40B4-BE49-F238E27FC236}">
              <a16:creationId xmlns:a16="http://schemas.microsoft.com/office/drawing/2014/main" id="{5C59BF6E-69F1-BDC5-42BF-7AB73BF8C834}"/>
            </a:ext>
          </a:extLst>
        </xdr:cNvPr>
        <xdr:cNvPicPr>
          <a:picLocks noChangeAspect="1"/>
        </xdr:cNvPicPr>
      </xdr:nvPicPr>
      <xdr:blipFill>
        <a:blip xmlns:r="http://schemas.openxmlformats.org/officeDocument/2006/relationships" r:embed="rId1"/>
        <a:stretch>
          <a:fillRect/>
        </a:stretch>
      </xdr:blipFill>
      <xdr:spPr>
        <a:xfrm>
          <a:off x="594360" y="5265420"/>
          <a:ext cx="5486400" cy="1513205"/>
        </a:xfrm>
        <a:prstGeom prst="rect">
          <a:avLst/>
        </a:prstGeom>
      </xdr:spPr>
    </xdr:pic>
    <xdr:clientData/>
  </xdr:twoCellAnchor>
  <xdr:twoCellAnchor editAs="oneCell">
    <xdr:from>
      <xdr:col>1</xdr:col>
      <xdr:colOff>0</xdr:colOff>
      <xdr:row>33</xdr:row>
      <xdr:rowOff>0</xdr:rowOff>
    </xdr:from>
    <xdr:to>
      <xdr:col>6</xdr:col>
      <xdr:colOff>15240</xdr:colOff>
      <xdr:row>39</xdr:row>
      <xdr:rowOff>20320</xdr:rowOff>
    </xdr:to>
    <xdr:pic>
      <xdr:nvPicPr>
        <xdr:cNvPr id="3" name="Image 1" descr="Une image contenant texte, Police, ligne, capture d’écran&#10;&#10;Le contenu généré par l’IA peut être incorrect.">
          <a:extLst>
            <a:ext uri="{FF2B5EF4-FFF2-40B4-BE49-F238E27FC236}">
              <a16:creationId xmlns:a16="http://schemas.microsoft.com/office/drawing/2014/main" id="{3CC95104-C345-367A-BAAC-5EAE1D3B5F19}"/>
            </a:ext>
          </a:extLst>
        </xdr:cNvPr>
        <xdr:cNvPicPr>
          <a:picLocks noChangeAspect="1"/>
        </xdr:cNvPicPr>
      </xdr:nvPicPr>
      <xdr:blipFill>
        <a:blip xmlns:r="http://schemas.openxmlformats.org/officeDocument/2006/relationships" r:embed="rId2"/>
        <a:stretch>
          <a:fillRect/>
        </a:stretch>
      </xdr:blipFill>
      <xdr:spPr>
        <a:xfrm>
          <a:off x="609600" y="6873240"/>
          <a:ext cx="5486400" cy="1109980"/>
        </a:xfrm>
        <a:prstGeom prst="rect">
          <a:avLst/>
        </a:prstGeom>
      </xdr:spPr>
    </xdr:pic>
    <xdr:clientData/>
  </xdr:twoCellAnchor>
  <xdr:twoCellAnchor editAs="oneCell">
    <xdr:from>
      <xdr:col>1</xdr:col>
      <xdr:colOff>0</xdr:colOff>
      <xdr:row>39</xdr:row>
      <xdr:rowOff>0</xdr:rowOff>
    </xdr:from>
    <xdr:to>
      <xdr:col>6</xdr:col>
      <xdr:colOff>15240</xdr:colOff>
      <xdr:row>50</xdr:row>
      <xdr:rowOff>76200</xdr:rowOff>
    </xdr:to>
    <xdr:pic>
      <xdr:nvPicPr>
        <xdr:cNvPr id="4" name="Image 1" descr="Une image contenant texte, capture d’écran, Police, nombre&#10;&#10;Le contenu généré par l’IA peut être incorrect.">
          <a:extLst>
            <a:ext uri="{FF2B5EF4-FFF2-40B4-BE49-F238E27FC236}">
              <a16:creationId xmlns:a16="http://schemas.microsoft.com/office/drawing/2014/main" id="{F45B573A-93C0-2E25-E21C-E3B350066589}"/>
            </a:ext>
          </a:extLst>
        </xdr:cNvPr>
        <xdr:cNvPicPr>
          <a:picLocks noChangeAspect="1"/>
        </xdr:cNvPicPr>
      </xdr:nvPicPr>
      <xdr:blipFill>
        <a:blip xmlns:r="http://schemas.openxmlformats.org/officeDocument/2006/relationships" r:embed="rId3"/>
        <a:stretch>
          <a:fillRect/>
        </a:stretch>
      </xdr:blipFill>
      <xdr:spPr>
        <a:xfrm>
          <a:off x="609600" y="7970520"/>
          <a:ext cx="5486400" cy="2087880"/>
        </a:xfrm>
        <a:prstGeom prst="rect">
          <a:avLst/>
        </a:prstGeom>
      </xdr:spPr>
    </xdr:pic>
    <xdr:clientData/>
  </xdr:twoCellAnchor>
  <xdr:twoCellAnchor editAs="oneCell">
    <xdr:from>
      <xdr:col>1</xdr:col>
      <xdr:colOff>0</xdr:colOff>
      <xdr:row>53</xdr:row>
      <xdr:rowOff>0</xdr:rowOff>
    </xdr:from>
    <xdr:to>
      <xdr:col>8</xdr:col>
      <xdr:colOff>476064</xdr:colOff>
      <xdr:row>59</xdr:row>
      <xdr:rowOff>95250</xdr:rowOff>
    </xdr:to>
    <xdr:pic>
      <xdr:nvPicPr>
        <xdr:cNvPr id="12" name="Picture 11">
          <a:extLst>
            <a:ext uri="{FF2B5EF4-FFF2-40B4-BE49-F238E27FC236}">
              <a16:creationId xmlns:a16="http://schemas.microsoft.com/office/drawing/2014/main" id="{2BFB0463-6D93-FAA3-3184-D75D2D1BE19D}"/>
            </a:ext>
          </a:extLst>
        </xdr:cNvPr>
        <xdr:cNvPicPr>
          <a:picLocks noChangeAspect="1"/>
        </xdr:cNvPicPr>
      </xdr:nvPicPr>
      <xdr:blipFill>
        <a:blip xmlns:r="http://schemas.openxmlformats.org/officeDocument/2006/relationships" r:embed="rId4"/>
        <a:stretch>
          <a:fillRect/>
        </a:stretch>
      </xdr:blipFill>
      <xdr:spPr>
        <a:xfrm>
          <a:off x="609600" y="10391775"/>
          <a:ext cx="7772214" cy="118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SCGM-Donn&#233;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Scgm-p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0-2011\Rapport%20annuel\Chiffrier%20RA%202010-2011\SCGM-Donn&#233;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SCGM-PT-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20pour%20tets%20a%20posterirori\SCGM-Donn&#233;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zmet.com\dfs\dfs\MTL\Usagers_06\na85017\Documents%20R&#233;seaux\VentesPar\na85017\2010-2011\chiffrier\SCGM-PT-4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Chiffrier%20d&#233;pot%20R&#233;gie%20avec%20anciens%20cas%20type%20PE202et%20Pe210\SCGM-Donn&#233;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zmet.com\dfs\MTL\Usagers_06\na85017\Documents%20R&#233;seaux\VentesPar\na85017\2014-2015\Chiffrier%20CT%202015\SCGM-PT-13.xls" TargetMode="External"/></Relationships>
</file>

<file path=xl/externalLinks/_rels/externalLink9.xml.rels><?xml version="1.0" encoding="UTF-8" standalone="yes"?>
<Relationships xmlns="http://schemas.openxmlformats.org/package/2006/relationships"><Relationship Id="rId3" Type="http://schemas.openxmlformats.org/officeDocument/2006/relationships/externalLinkPath" Target="https://energir.sharepoint.com/sites/ENRG-Marketing-EfficaciteEnergetique-valuations/Documents%20partages/&#201;valuations/Suivi%20des%20recommandations/Simulation%20-%20Modalit&#233;%20d'aide%20financi&#232;re/A&#233;rotherme%20et%20Combo%20P.9/TCTR%20Combo%20P9%20-%20TEST.xlsx" TargetMode="External"/><Relationship Id="rId2" Type="http://schemas.microsoft.com/office/2019/04/relationships/externalLinkLongPath" Target="/sites/ENRG-Marketing-EfficaciteEnergetique-valuations/Documents%20partages/&#201;valuations/Suivi%20des%20recommandations/Simulation%20-%20Modalit&#233;%20d'aide%20financi&#232;re/A&#233;rotherme%20et%20Combo%20P.9/A&#233;rothermes/TCTR%20Combo%20P9%20-%20TEST.xlsx?04187475" TargetMode="External"/><Relationship Id="rId1" Type="http://schemas.openxmlformats.org/officeDocument/2006/relationships/externalLinkPath" Target="file:///\\04187475\TCTR%20Combo%20P9%20-%20TES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azmet.com\dfs\MTL\Usagers_06\na85017\Documents%20R&#233;seaux\VentesPar\na85017\2014-2015\Chiffrier%20CT%202015\SCGM-PT-4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azmet.com\dfs\Marketing\Marketing\Suivi_2017-2018\PGE&#201;_et_SPEDE\R&#233;gie\Rapport_annuel_2017\Fiche%20de%20programme%20RA%202017%20&#224;%20partir%20de%20CT2017V%20corrig&#23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azmet.com\dfs\MTL\Usagers_06\na85017\Documents%20R&#233;seaux\VentesPar\na85017\2014-2015\Chiffrier%20CT%202015\SCGM-Donn&#233;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AccèsIntangibles" refersTo="='Données cachées hé hé'!$S$70:$S$109"/>
      <definedName name="AccèsTangibles" refersTo="='Données cachées hé hé'!$S$10:$S$69"/>
      <definedName name="AnnéeDépart" refersTo="='Données générales'!$E$51"/>
      <definedName name="AnnéeSCGM" refersTo="='Données cachées hé hé'!$H$10:$K$57"/>
      <definedName name="Budgets" refersTo="='Budgets cachés'!$B$9:$U$108"/>
      <definedName name="BudgetsPICAn1" refersTo="='Répartition des budgets'!$E$130:$O$149"/>
      <definedName name="BudgetsPICAn2" refersTo="='Répartition des budgets'!$P$130:$W$149"/>
      <definedName name="BudgetsPICAn3" refersTo="='Répartition des budgets'!$Y$130:$AG$150"/>
      <definedName name="BudgetsPICPlan" refersTo="='Répartition des budgets'!$AH$130:$AM$150"/>
      <definedName name="BudgetsPIRAn1" refersTo="='Répartition des budgets'!$E$106:$O$126"/>
      <definedName name="BudgetsPIRAn2" refersTo="='Répartition des budgets'!$P$106:$X$126"/>
      <definedName name="BudgetsPIRAn3" refersTo="='Répartition des budgets'!$Y$106:$AG$126"/>
      <definedName name="BudgetsPIRPlan" refersTo="='Répartition des budgets'!$AH$106:$AM$126"/>
      <definedName name="BudgetsPTCAn1" refersTo="='Répartition des budgets'!$E$58:$O$78"/>
      <definedName name="BudgetsPTCAn2" refersTo="='Répartition des budgets'!$P$58:$X$78"/>
      <definedName name="BudgetsPTCAn3" refersTo="='Répartition des budgets'!$Y$58:$AG$78"/>
      <definedName name="BudgetsPTCPlan" refersTo="='Répartition des budgets'!$AH$58:$AM$78"/>
      <definedName name="BudgetsPTRAn1" refersTo="='Répartition des budgets'!$E$34:$O$54"/>
      <definedName name="BudgetsPTRAn2" refersTo="='Répartition des budgets'!$P$34:$X$54"/>
      <definedName name="BudgetsPTRAn3" refersTo="='Répartition des budgets'!$Y$34:$AG$54"/>
      <definedName name="BudgetsPTRPlan" refersTo="='Répartition des budgets'!$AH$34:$AM$54"/>
      <definedName name="BudgetsPTVAn1" refersTo="='Répartition des budgets'!$E$82:$O$102"/>
      <definedName name="BudgetsPTVAn2" refersTo="='Répartition des budgets'!$P$82:$X$102"/>
      <definedName name="BudgetsPTVAn3" refersTo="='Répartition des budgets'!$Y$82:$AG$102"/>
      <definedName name="BudgetsPTVPlan" refersTo="='Répartition des budgets'!$AH$82:$AM$102"/>
      <definedName name="BudgetsSupAdmAn1" refersTo="='Répartition des budgets'!$G$23:$O$30"/>
      <definedName name="BudgetsSupAdmAn2" refersTo="='Répartition des budgets'!$P$23:$X$30"/>
      <definedName name="BudgetsSupAdmAn3" refersTo="='Répartition des budgets'!$Y$23:$AG$30"/>
      <definedName name="ComposantesGES" refersTo="='Données générales'!$N$39:$Q$51"/>
      <definedName name="CoûtsCO2" refersTo="='Données générales'!$P$49:$Q$51"/>
      <definedName name="Ct_1" refersTo="='Données générales'!$P$49"/>
      <definedName name="Ct_2" refersTo="='Données générales'!$P$50"/>
      <definedName name="Ct_3" refersTo="='Données générales'!$P$51"/>
      <definedName name="ÉtudRechRéal" refersTo="='Activités de recherche'!$P$11"/>
      <definedName name="FichiersIntangCII" refersTo="#REF!"/>
      <definedName name="FichiersIntangRés" refersTo="#REF!"/>
      <definedName name="FichiersTangCII" refersTo="='Programmes tangibles'!$AH$24:$AH$43"/>
      <definedName name="FichiersTangRés" refersTo="='Programmes tangibles'!$I$24:$I$43"/>
      <definedName name="FichiersTangVGE" refersTo="='Programmes tangibles'!$BG$24:$BG$43"/>
      <definedName name="MoisAnnéeSCGM" refersTo="='Données cachées hé hé'!$D$9:$E$20"/>
      <definedName name="MoisComplété" refersTo="='Données générales'!$J$51"/>
      <definedName name="NbMois" refersTo="='Données cachées hé hé'!$E$26"/>
      <definedName name="NbProgrammes" refersTo="='Répartition des budgets'!$F$5"/>
      <definedName name="ProgIntangiblesCII" refersTo="='Programmes intangibles'!$AH$24:$AV$43"/>
      <definedName name="ProgIntangiblesRés" refersTo="='Programmes intangibles'!$I$24:$W$43"/>
      <definedName name="ProgTangiblesCII" refersTo="='Programmes tangibles'!$AH$24:$AV$43"/>
      <definedName name="ProgTangiblesRés" refersTo="='Programmes tangibles'!$I$24:$W$43"/>
      <definedName name="ProgTangiblesVGE" refersTo="='Programmes tangibles'!$BG$24:$BU$43"/>
      <definedName name="RevenusImpactTarif" refersTo="='Données générales'!$I$44"/>
      <definedName name="RevenusTotauxImpactTarif" refersTo="='Données générales'!$I$45"/>
      <definedName name="SupportAdministration" refersTo="='Répartition des budgets'!$E$23:$F$28"/>
      <definedName name="TotalRépartAn1" refersTo="='Répartition des budgets'!$O$29"/>
      <definedName name="TotalRépartAn2" refersTo="='Répartition des budgets'!$X$29"/>
      <definedName name="TotalRépartAn3" refersTo="='Répartition des budgets'!$AG$29"/>
      <definedName name="TotalSupAdmAN1" refersTo="='Répartition des budgets'!$O$30"/>
      <definedName name="TotalSupAdmAN2" refersTo="='Répartition des budgets'!$X$30"/>
      <definedName name="TotalSupAdmAN3" refersTo="='Répartition des budgets'!$AG$30"/>
      <definedName name="TotalSupAdmProg" refersTo="='Répartition des budgets'!$AM$30"/>
      <definedName name="TpClientèles" refersTo="='Données cachées hé hé'!$AG$12:$AI$14"/>
      <definedName name="VANSansSub" refersTo="#REF!"/>
      <definedName name="VersCourOutils" refersTo="='Données cachées hé hé'!$Z$14"/>
      <definedName name="VersCourPEE" refersTo="='Données cachées hé hé'!$Z$13"/>
      <definedName name="VolumeImpactTarif" refersTo="='Données générales'!$I$43"/>
    </definedNames>
    <sheetDataSet>
      <sheetData sheetId="0" refreshError="1"/>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Mise en page"/>
      <sheetName val="Contrôle Accès"/>
      <sheetName val="Répartition des budgets du plan"/>
      <sheetName val="Rapport suivi et implantation"/>
      <sheetName val="Réduction des externalités (kg)"/>
      <sheetName val="Réduction des externalités ($)"/>
      <sheetName val="Économies unitaires"/>
      <sheetName val="Feuille cachée!"/>
      <sheetName val="Tableaux de bord"/>
      <sheetName val="Récapitulatif financier"/>
      <sheetName val="Pertes revenus"/>
      <sheetName val="PRI"/>
      <sheetName val="Récompenses"/>
      <sheetName val="Récompense globale"/>
      <sheetName val="Figure II"/>
      <sheetName val="Impact sur revenus"/>
      <sheetName val="Comparatif de tests"/>
      <sheetName val="Feuil1"/>
      <sheetName val="Feui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BudgetsSupAdmAn1" refersTo="='Répartition des budgets'!$G$23:$O$30"/>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Récompenses"/>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sult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Ct_2" refersTo="='Données générales'!$P$50"/>
      <definedName name="ProgTangiblesRés" refersTo="='Programmes tangibles'!$I$24:$W$43"/>
    </definedNames>
    <sheetDataSet>
      <sheetData sheetId="0" refreshError="1"/>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Récompenses"/>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sultats"/>
    </sheetNames>
    <sheetDataSet>
      <sheetData sheetId="0"/>
      <sheetData sheetId="1" refreshError="1"/>
      <sheetData sheetId="2" refreshError="1"/>
      <sheetData sheetId="3"/>
      <sheetData sheetId="4"/>
      <sheetData sheetId="5" refreshError="1"/>
      <sheetData sheetId="6"/>
      <sheetData sheetId="7"/>
      <sheetData sheetId="8"/>
      <sheetData sheetId="9"/>
      <sheetData sheetId="10"/>
      <sheetData sheetId="11" refreshError="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ProgIntangiblesCII" refersTo="='Programmes intangibles'!$AH$24:$AV$43"/>
    </defined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compenses"/>
      <sheetName val="Résultat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CTR test PE212"/>
      <sheetName val="Combo P9"/>
      <sheetName val="CT2022 NC 2025"/>
      <sheetName val="PE233"/>
      <sheetName val="PE226"/>
      <sheetName val="PE215"/>
      <sheetName val="PE224"/>
      <sheetName val="TCTR sensibilité"/>
      <sheetName val="Coûts évités"/>
      <sheetName val="Paramètres économiq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Récompenses"/>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sultat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124"/>
      <sheetName val="NOTE"/>
      <sheetName val="Paramètre"/>
      <sheetName val="PE103"/>
      <sheetName val="PE106"/>
      <sheetName val="PE111"/>
      <sheetName val="PE113"/>
      <sheetName val="PE123"/>
      <sheetName val="PE126"/>
      <sheetName val="VALIDATION résidentiel"/>
      <sheetName val="PE202"/>
      <sheetName val="PE204"/>
      <sheetName val="PE207"/>
      <sheetName val="PE208"/>
      <sheetName val="PE210"/>
      <sheetName val="PE212"/>
      <sheetName val="PE215"/>
      <sheetName val="PE220"/>
      <sheetName val="PE224"/>
      <sheetName val="PE225"/>
      <sheetName val="PE226"/>
      <sheetName val="PE233"/>
      <sheetName val="PE234"/>
      <sheetName val="PE235"/>
      <sheetName val="PE236"/>
      <sheetName val="PE221"/>
      <sheetName val="VALIDATION CII"/>
      <sheetName val="PE211"/>
      <sheetName val="PE214"/>
      <sheetName val="PE218"/>
      <sheetName val="PE219"/>
      <sheetName val="VALIDATION vge"/>
      <sheetName val="PE217"/>
      <sheetName val="PE213"/>
      <sheetName val="Tableau 1"/>
      <sheetName val="Tableau 2"/>
      <sheetName val="Tableau 3"/>
      <sheetName val="Tableaux 4 et 5"/>
      <sheetName val="Tableau D RÉPART BUDGET"/>
      <sheetName val="Tableau 6"/>
      <sheetName val=" Tableau Annexe"/>
      <sheetName val="Tableau FCompar avec BNÉ"/>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Feuil2"/>
      <sheetName val="SCGM-Données"/>
    </sheetNames>
    <definedNames>
      <definedName name="TauxInflation" refersTo="='Données générales'!$E$2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Ye Bernard" id="{66AB2D2F-6E82-4B88-AB2F-C150ACFA3F3D}" userId="S::bernard.ye@energir.com::369c1fd1-0685-4ec5-b26e-f671dd7791c5"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refreshOnLoad="1" connectionId="1" xr16:uid="{DDA555BF-8CEC-4207-AEA0-AAF8ABCED2AC}" autoFormatId="16" applyNumberFormats="0" applyBorderFormats="0" applyFontFormats="0" applyPatternFormats="0" applyAlignmentFormats="0" applyWidthHeightFormats="0">
  <queryTableRefresh nextId="6">
    <queryTableFields count="5">
      <queryTableField id="1" name="Période" tableColumnId="1"/>
      <queryTableField id="2" name="Prix référenceÉnergir($/GJ)" tableColumnId="2"/>
      <queryTableField id="3" name="Prix référenceÉnergir(¢/m³)" tableColumnId="3"/>
      <queryTableField id="4" name="Prix du marchéContrat 1 an($/GJ)" tableColumnId="4"/>
      <queryTableField id="5" name="Prix du marchéMensuel($/GJ)"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FC6872-6B23-4AD5-A12D-816152B32886}" name="Table_1" displayName="Table_1" ref="A1:E21" tableType="queryTable" totalsRowShown="0">
  <autoFilter ref="A1:E21" xr:uid="{B3FC6872-6B23-4AD5-A12D-816152B32886}"/>
  <sortState xmlns:xlrd2="http://schemas.microsoft.com/office/spreadsheetml/2017/richdata2" ref="A2:E21">
    <sortCondition descending="1" ref="A1:A21"/>
  </sortState>
  <tableColumns count="5">
    <tableColumn id="1" xr3:uid="{8CF86186-71DC-4944-A76E-6326E4F09C46}" uniqueName="1" name="Période" queryTableFieldId="1" dataDxfId="0"/>
    <tableColumn id="2" xr3:uid="{2B3A41ED-1555-49E7-A6DB-71F47F35C8FF}" uniqueName="2" name="Prix référenceÉnergir($/GJ)" queryTableFieldId="2"/>
    <tableColumn id="3" xr3:uid="{E1AEDBA1-8F3B-4FB9-A3F8-8996CAAA4441}" uniqueName="3" name="Prix référenceÉnergir(¢/m³)" queryTableFieldId="3"/>
    <tableColumn id="4" xr3:uid="{0B35DBC2-3C38-4BB1-B973-2368A83CFB32}" uniqueName="4" name="Prix du marchéContrat 1 an($/GJ)" queryTableFieldId="4"/>
    <tableColumn id="5" xr3:uid="{6BBB6436-553B-4B3A-BF1A-D9EA6BF079AF}" uniqueName="5" name="Prix du marchéMensuel($/GJ)" queryTableField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D967DA-205C-405B-BEC3-8053687383A4}" name="Tableau4" displayName="Tableau4" ref="B5:AF187" totalsRowShown="0" headerRowDxfId="37" tableBorderDxfId="36">
  <autoFilter ref="B5:AF187" xr:uid="{70D967DA-205C-405B-BEC3-8053687383A4}"/>
  <sortState xmlns:xlrd2="http://schemas.microsoft.com/office/spreadsheetml/2017/richdata2" ref="B6:AF187">
    <sortCondition ref="B5:B187"/>
  </sortState>
  <tableColumns count="31">
    <tableColumn id="1" xr3:uid="{2C258046-DDF8-466F-BC25-25FB640895C4}" name="Année financière" dataDxfId="35"/>
    <tableColumn id="2" xr3:uid="{18B79D5B-89EC-48F0-BCB3-BB7BE7007C1D}" name="Numéro dossier" dataDxfId="34"/>
    <tableColumn id="3" xr3:uid="{7E99A588-91A1-467C-A189-BA6D7FE0BF49}" name="Nombres appareils installés" dataDxfId="33"/>
    <tableColumn id="4" xr3:uid="{A3AEB366-A000-49AF-8DD3-E36477D49049}" name="Capacité (BTU)" dataDxfId="32"/>
    <tableColumn id="33" xr3:uid="{E417865B-06FE-4781-B625-BA4BE9D51A42}" name="Économies par appareil (m3)" dataDxfId="31">
      <calculatedColumnFormula>Tableau4[[#This Row],[Economies totales (m3)]]/Tableau4[[#This Row],[Nombres appareils installés]]</calculatedColumnFormula>
    </tableColumn>
    <tableColumn id="5" xr3:uid="{CC640C6C-A304-411F-9F73-5852EA5E4237}" name="Economies totales (m3)" dataDxfId="30"/>
    <tableColumn id="6" xr3:uid="{4A79E429-E50E-424B-A8F1-C2A911B0139F}" name="Surcoût moyens de l'équipement ($)" dataDxfId="29">
      <calculatedColumnFormula>(0.00000003*E6^2 - 0.0001*E6 + 1533.4)</calculatedColumnFormula>
    </tableColumn>
    <tableColumn id="20" xr3:uid="{E76DC801-055A-455D-ACC5-67308FB697FB}" name="Surcoût moyen de l'installation ($)" dataDxfId="28"/>
    <tableColumn id="29" xr3:uid="{7E4BC708-0F28-41A0-BB59-88912329E580}" name="Surcoût par appareil ($)" dataDxfId="27">
      <calculatedColumnFormula>Tableau4[[#This Row],[Surcoût moyens de l''équipement ($)]]+Tableau4[[#This Row],[Surcoût moyen de l''installation ($)]]</calculatedColumnFormula>
    </tableColumn>
    <tableColumn id="28" xr3:uid="{EC351B52-5AB6-4540-8938-3D2DF80CA9C5}" name="Surcoût total ($)" dataDxfId="26">
      <calculatedColumnFormula>Tableau4[[#This Row],[Surcoût par appareil ($)]]*Tableau4[[#This Row],[Nombres appareils installés]]</calculatedColumnFormula>
    </tableColumn>
    <tableColumn id="7" xr3:uid="{E0E907DA-40DD-404D-806A-AE5AA792C038}" name="AF accordée ($)" dataDxfId="25"/>
    <tableColumn id="8" xr3:uid="{742CD7BB-6F35-4E22-B065-6B3EE39A00ED}" name="AF 0 ($)" dataDxfId="24">
      <calculatedColumnFormula>($M$4+$N$4*(E6/1000))*D6</calculatedColumnFormula>
    </tableColumn>
    <tableColumn id="21" xr3:uid="{367F61F3-58DC-47D9-9584-6229ECF1DEC0}" name="AF 0 par appareil ($)" dataDxfId="23">
      <calculatedColumnFormula>Tableau4[[#This Row],[AF 0 ($)]]/Tableau4[[#This Row],[Nombres appareils installés]]</calculatedColumnFormula>
    </tableColumn>
    <tableColumn id="9" xr3:uid="{98C378C3-A119-4BE7-A36D-A1E9F68F518B}" name="Couverture 0 (%)" dataDxfId="22">
      <calculatedColumnFormula>(Tableau4[[#This Row],[AF accordée ($)]])/($J$6*D6)</calculatedColumnFormula>
    </tableColumn>
    <tableColumn id="14" xr3:uid="{7900D830-FA56-4AED-87B0-25B91E60FD8F}" name="Couverture * nb appareils 0" dataDxfId="21">
      <calculatedColumnFormula>Tableau4[[#This Row],[Couverture 0 (%)]]*Tableau4[[#This Row],[Nombres appareils installés]]</calculatedColumnFormula>
    </tableColumn>
    <tableColumn id="10" xr3:uid="{969EE72C-10A2-4EF0-9FF5-FD00248BF2BE}" name="AF 1 ($)" dataDxfId="20">
      <calculatedColumnFormula>($Q$4+$R$4*(Tableau4[[#This Row],[Capacité (BTU)]]/1000))*Tableau4[[#This Row],[Nombres appareils installés]]</calculatedColumnFormula>
    </tableColumn>
    <tableColumn id="22" xr3:uid="{CB9D8784-63B1-4EF2-8BF0-178FFBAD89AD}" name="AF 1 par appareil ($)" dataDxfId="19">
      <calculatedColumnFormula>Tableau4[[#This Row],[AF 1 ($)]]/Tableau4[[#This Row],[Nombres appareils installés]]</calculatedColumnFormula>
    </tableColumn>
    <tableColumn id="11" xr3:uid="{38BCB967-7219-4F95-9134-BD9B74C7B2AB}" name="Couverture 1 (%)" dataDxfId="18">
      <calculatedColumnFormula>Tableau4[[#This Row],[AF 1 ($)]]/(J6*D6)</calculatedColumnFormula>
    </tableColumn>
    <tableColumn id="18" xr3:uid="{C9BA2FF2-96BA-4B29-BD57-0046C41F0758}" name="Couverture * nb appareils 1" dataDxfId="17">
      <calculatedColumnFormula>Tableau4[[#This Row],[Couverture 1 (%)]]*Tableau4[[#This Row],[Nombres appareils installés]]</calculatedColumnFormula>
    </tableColumn>
    <tableColumn id="12" xr3:uid="{6BAD1C9A-2920-4C6E-B55C-8F290F5A60A4}" name="AF 2 ($)" dataDxfId="16">
      <calculatedColumnFormula>($U$4+($V$4*(Tableau4[[#This Row],[Capacité (BTU)]]/1000)))*Tableau4[[#This Row],[Nombres appareils installés]]</calculatedColumnFormula>
    </tableColumn>
    <tableColumn id="23" xr3:uid="{96CBAFF9-4858-449B-9EF7-27506FB4A0AB}" name="AF 2 par appareil ($)" dataDxfId="15">
      <calculatedColumnFormula>Tableau4[[#This Row],[AF 2 ($)]]/Tableau4[[#This Row],[Nombres appareils installés]]</calculatedColumnFormula>
    </tableColumn>
    <tableColumn id="13" xr3:uid="{B6921385-9CB9-4724-98D1-EDA503555EA3}" name="Couverture 2 (%)" dataDxfId="14">
      <calculatedColumnFormula>Tableau4[[#This Row],[AF 2 par appareil ($)]]/Tableau4[[#This Row],[Surcoût par appareil ($)]]</calculatedColumnFormula>
    </tableColumn>
    <tableColumn id="24" xr3:uid="{63A84616-E7E8-400F-B446-9B4B4DF5A68A}" name="Couverture * nb appareils 2" dataDxfId="13">
      <calculatedColumnFormula>Tableau4[[#This Row],[Couverture 2 (%)]]*Tableau4[[#This Row],[Nombres appareils installés]]</calculatedColumnFormula>
    </tableColumn>
    <tableColumn id="30" xr3:uid="{84F95A76-9D61-4EEF-BA59-8D5BC97E6DCB}" name="AF 3 ($)" dataDxfId="12">
      <calculatedColumnFormula>($Y$4+$Z$4*(Tableau4[[#This Row],[Capacité (BTU)]]/1000))*Tableau4[[#This Row],[Nombres appareils installés]]</calculatedColumnFormula>
    </tableColumn>
    <tableColumn id="31" xr3:uid="{06A6173C-0C8D-471A-83F0-F2642299C02E}" name="AF 3 par appareil ($)" dataDxfId="11">
      <calculatedColumnFormula>Tableau4[[#This Row],[AF 3 ($)]]/Tableau4[[#This Row],[Nombres appareils installés]]</calculatedColumnFormula>
    </tableColumn>
    <tableColumn id="15" xr3:uid="{DF36779F-46E2-45D6-82E4-CABDB3D15103}" name="Couverture 3 (%)" dataDxfId="10">
      <calculatedColumnFormula>Tableau4[[#This Row],[AF 3 par appareil ($)]]/Tableau4[[#This Row],[Surcoût par appareil ($)]]</calculatedColumnFormula>
    </tableColumn>
    <tableColumn id="25" xr3:uid="{D627295C-2DAE-4F9E-BFCB-226B3FBD391E}" name="Couverture * nb appareils 3" dataDxfId="9">
      <calculatedColumnFormula>Tableau4[[#This Row],[Couverture 3 (%)]]*Tableau4[[#This Row],[Nombres appareils installés]]</calculatedColumnFormula>
    </tableColumn>
    <tableColumn id="16" xr3:uid="{A51A08FF-9A04-43A1-B859-2D2EAE801204}" name="AF 4 ($)" dataDxfId="8">
      <calculatedColumnFormula>($AC$4+$AD$4*(Tableau4[[#This Row],[Capacité (BTU)]]/1000))*Tableau4[[#This Row],[Nombres appareils installés]]</calculatedColumnFormula>
    </tableColumn>
    <tableColumn id="17" xr3:uid="{70F239F0-EEAD-4F8B-B5DE-6D18129FC3F7}" name="AF 4 par appareil  ($)" dataDxfId="7">
      <calculatedColumnFormula>Tableau4[[#This Row],[AF 4 ($)]]/Tableau4[[#This Row],[Nombres appareils installés]]</calculatedColumnFormula>
    </tableColumn>
    <tableColumn id="26" xr3:uid="{7798F8FE-6FB2-41E0-B301-813B310E63C1}" name="Couverture * nb appareils 4" dataDxfId="6">
      <calculatedColumnFormula>Tableau4[[#This Row],[Couverture 4 (%)]]*Tableau4[[#This Row],[Nombres appareils installés]]</calculatedColumnFormula>
    </tableColumn>
    <tableColumn id="19" xr3:uid="{773F8DDB-F2A7-419D-B616-67E9B454857F}" name="Couverture 4 (%)" dataDxfId="5">
      <calculatedColumnFormula>Tableau4[[#This Row],[AF 4 par appareil  ($)]]/Tableau4[[#This Row],[Surcoût par appareil ($)]]</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8A1326-680E-4733-8E28-B9ABB46CE976}" name="Table3" displayName="Table3" ref="B2:E10" totalsRowShown="0">
  <autoFilter ref="B2:E10" xr:uid="{078A1326-680E-4733-8E28-B9ABB46CE976}"/>
  <tableColumns count="4">
    <tableColumn id="1" xr3:uid="{321C93EB-B6DC-4D5D-9257-698733E291DF}" name="BTU/h"/>
    <tableColumn id="2" xr3:uid="{75CE12DC-DC42-4961-BEF2-C966A0DF00CE}" name="Économies réelles">
      <calculatedColumnFormula>0.0051*B3</calculatedColumnFormula>
    </tableColumn>
    <tableColumn id="3" xr3:uid="{05B66C4F-46B8-4752-A943-5A1D52BCD2C7}" name="Économies calculées"/>
    <tableColumn id="4" xr3:uid="{15EF2C40-2D6E-4A9C-8F50-69869A866544}" name="Erreur " dataDxfId="4" dataCellStyle="Percent">
      <calculatedColumnFormula>ABS(D3-C3)/C3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99A369-52FF-4666-83B9-9D568882CC3B}" name="Table69" displayName="Table69" ref="F17:G18" totalsRowShown="0">
  <autoFilter ref="F17:G18" xr:uid="{5599A369-52FF-4666-83B9-9D568882CC3B}"/>
  <tableColumns count="2">
    <tableColumn id="1" xr3:uid="{08D578E2-EBF2-4DBE-BF5D-7EC04D783C97}" name="$/m3" dataDxfId="3">
      <calculatedColumnFormula>'Prix GN'!C2/100</calculatedColumnFormula>
    </tableColumn>
    <tableColumn id="2" xr3:uid="{96FA9E5A-9A7D-45E8-B94B-577945984BDA}" name="$/GJ">
      <calculatedColumnFormula>'Prix GN'!B2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5-07-08T17:58:29.17" personId="{66AB2D2F-6E82-4B88-AB2F-C150ACFA3F3D}" id="{2D733443-3C14-4345-BEED-9617CEDFB48F}">
    <text>Provient d’une simulation antérieure dont les résultats se trouvent dans l’onglet Économies réelles</text>
  </threadedComment>
  <threadedComment ref="D2" dT="2025-07-08T17:57:06.28" personId="{66AB2D2F-6E82-4B88-AB2F-C150ACFA3F3D}" id="{7245E22F-E632-4D9D-8A18-99BCA2C3A008}">
    <text xml:space="preserve">Obtenu en remplacant les BTU dans l’outil de calcul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ergir.com/fr/affaires/efficacite-energetique/programme-efficacite-energetique/aerotherm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drawing" Target="../drawings/drawing4.xml"/><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A429-E02F-4D91-A92B-255037A1E19F}">
  <sheetPr codeName="Sheet13">
    <tabColor theme="0"/>
  </sheetPr>
  <dimension ref="A1:VM1412"/>
  <sheetViews>
    <sheetView showGridLines="0" topLeftCell="D11" zoomScaleNormal="100" workbookViewId="0">
      <selection activeCell="D14" sqref="D14"/>
    </sheetView>
  </sheetViews>
  <sheetFormatPr defaultColWidth="11.44140625" defaultRowHeight="14.4" x14ac:dyDescent="0.3"/>
  <cols>
    <col min="1" max="3" width="3.109375" customWidth="1"/>
    <col min="4" max="4" width="119.5546875" customWidth="1"/>
    <col min="5" max="5" width="4" style="40" customWidth="1"/>
    <col min="6" max="6" width="3.88671875" style="40" customWidth="1"/>
    <col min="7" max="7" width="17" style="40" customWidth="1"/>
    <col min="8" max="8" width="3.109375" customWidth="1"/>
    <col min="9" max="9" width="49.44140625" style="39" customWidth="1"/>
    <col min="10" max="10" width="4" style="39" customWidth="1"/>
    <col min="11" max="11" width="47.5546875" style="39" customWidth="1"/>
    <col min="12" max="12" width="17" style="39" customWidth="1"/>
    <col min="13" max="30" width="27.6640625" style="39" customWidth="1"/>
    <col min="31" max="31" width="3.109375" style="39" customWidth="1"/>
    <col min="32" max="32" width="30" style="39" customWidth="1"/>
    <col min="33" max="585" width="11.44140625" style="39"/>
  </cols>
  <sheetData>
    <row r="1" spans="3:8" ht="66" customHeight="1" x14ac:dyDescent="0.3">
      <c r="E1" s="48"/>
      <c r="F1" s="34"/>
      <c r="G1" s="39"/>
      <c r="H1" s="39"/>
    </row>
    <row r="2" spans="3:8" ht="24.6" x14ac:dyDescent="0.4">
      <c r="C2" s="61" t="s">
        <v>326</v>
      </c>
      <c r="E2" s="48"/>
      <c r="F2" s="34"/>
      <c r="G2" s="39"/>
      <c r="H2" s="39"/>
    </row>
    <row r="3" spans="3:8" ht="21" x14ac:dyDescent="0.4">
      <c r="C3" s="58" t="s">
        <v>327</v>
      </c>
      <c r="D3" s="49"/>
      <c r="E3" s="48"/>
      <c r="F3" s="34"/>
      <c r="G3" s="39"/>
      <c r="H3" s="39"/>
    </row>
    <row r="4" spans="3:8" ht="18.600000000000001" customHeight="1" x14ac:dyDescent="0.3">
      <c r="D4" s="60"/>
      <c r="E4" s="60"/>
      <c r="F4" s="34"/>
      <c r="G4" s="39"/>
      <c r="H4" s="39"/>
    </row>
    <row r="5" spans="3:8" ht="86.4" x14ac:dyDescent="0.3">
      <c r="D5" s="62" t="s">
        <v>328</v>
      </c>
      <c r="E5" s="43"/>
      <c r="F5" s="34"/>
      <c r="G5" s="39"/>
      <c r="H5" s="39"/>
    </row>
    <row r="6" spans="3:8" ht="18.600000000000001" customHeight="1" x14ac:dyDescent="0.3">
      <c r="D6" s="59"/>
      <c r="E6" s="43"/>
      <c r="F6" s="34"/>
      <c r="G6" s="39"/>
      <c r="H6" s="39"/>
    </row>
    <row r="7" spans="3:8" ht="358.8" customHeight="1" x14ac:dyDescent="0.3">
      <c r="D7" s="62" t="s">
        <v>383</v>
      </c>
      <c r="E7" s="43"/>
      <c r="F7" s="34"/>
      <c r="G7" s="39"/>
      <c r="H7" s="39"/>
    </row>
    <row r="8" spans="3:8" ht="19.8" customHeight="1" x14ac:dyDescent="0.3">
      <c r="D8" s="59"/>
      <c r="E8" s="43"/>
      <c r="F8" s="34"/>
      <c r="G8" s="39"/>
      <c r="H8" s="39"/>
    </row>
    <row r="9" spans="3:8" ht="27.6" customHeight="1" x14ac:dyDescent="0.3">
      <c r="D9" s="100" t="s">
        <v>329</v>
      </c>
      <c r="E9" s="43"/>
      <c r="F9" s="34"/>
      <c r="G9" s="39"/>
      <c r="H9" s="39"/>
    </row>
    <row r="10" spans="3:8" ht="41.4" customHeight="1" x14ac:dyDescent="0.3">
      <c r="D10" s="101" t="s">
        <v>330</v>
      </c>
      <c r="E10" s="43"/>
      <c r="F10" s="34"/>
      <c r="G10" s="39"/>
      <c r="H10" s="39"/>
    </row>
    <row r="11" spans="3:8" ht="361.2" customHeight="1" x14ac:dyDescent="0.3">
      <c r="D11" s="62" t="s">
        <v>331</v>
      </c>
      <c r="E11" s="43"/>
      <c r="F11" s="34"/>
      <c r="G11" s="39"/>
      <c r="H11" s="39"/>
    </row>
    <row r="12" spans="3:8" x14ac:dyDescent="0.3">
      <c r="D12" s="102"/>
      <c r="E12" s="43"/>
      <c r="F12" s="34"/>
      <c r="G12" s="39"/>
      <c r="H12" s="39"/>
    </row>
    <row r="13" spans="3:8" ht="19.95" customHeight="1" x14ac:dyDescent="0.3">
      <c r="D13" s="59"/>
      <c r="E13" s="44"/>
      <c r="F13" s="34"/>
      <c r="G13" s="39"/>
      <c r="H13" s="39"/>
    </row>
    <row r="14" spans="3:8" ht="222" customHeight="1" x14ac:dyDescent="0.3">
      <c r="D14" s="62" t="s">
        <v>384</v>
      </c>
      <c r="E14" s="43"/>
      <c r="F14" s="34"/>
      <c r="G14" s="39"/>
      <c r="H14" s="39"/>
    </row>
    <row r="15" spans="3:8" ht="16.8" customHeight="1" x14ac:dyDescent="0.3">
      <c r="D15" s="62"/>
      <c r="E15" s="43"/>
      <c r="F15" s="34"/>
      <c r="G15" s="39"/>
      <c r="H15" s="39"/>
    </row>
    <row r="16" spans="3:8" ht="38.4" customHeight="1" x14ac:dyDescent="0.3">
      <c r="D16" s="98" t="s">
        <v>333</v>
      </c>
      <c r="E16" s="43"/>
      <c r="F16" s="34"/>
      <c r="G16" s="39"/>
      <c r="H16" s="39"/>
    </row>
    <row r="17" spans="1:8" ht="19.8" customHeight="1" thickBot="1" x14ac:dyDescent="0.35">
      <c r="D17" s="62"/>
      <c r="E17" s="43"/>
      <c r="F17" s="34"/>
      <c r="G17" s="39"/>
      <c r="H17" s="39"/>
    </row>
    <row r="18" spans="1:8" ht="49.2" customHeight="1" thickBot="1" x14ac:dyDescent="0.35">
      <c r="D18" s="63" t="s">
        <v>332</v>
      </c>
      <c r="E18" s="43"/>
      <c r="F18" s="34"/>
      <c r="G18" s="39"/>
      <c r="H18" s="39"/>
    </row>
    <row r="19" spans="1:8" ht="19.2" customHeight="1" x14ac:dyDescent="0.3">
      <c r="D19" s="59"/>
      <c r="E19" s="43"/>
      <c r="F19" s="34"/>
      <c r="G19" s="39"/>
      <c r="H19" s="39"/>
    </row>
    <row r="20" spans="1:8" ht="16.95" customHeight="1" x14ac:dyDescent="0.3">
      <c r="D20" s="73" t="s">
        <v>325</v>
      </c>
      <c r="E20" s="43"/>
      <c r="F20" s="34"/>
      <c r="G20" s="39"/>
      <c r="H20" s="39"/>
    </row>
    <row r="21" spans="1:8" x14ac:dyDescent="0.3">
      <c r="D21" s="59"/>
      <c r="E21" s="43"/>
      <c r="F21" s="34"/>
      <c r="G21" s="39"/>
      <c r="H21" s="39"/>
    </row>
    <row r="22" spans="1:8" ht="7.5" customHeight="1" x14ac:dyDescent="0.3">
      <c r="B22" s="34"/>
      <c r="C22" s="34"/>
      <c r="D22" s="51"/>
      <c r="E22" s="43"/>
      <c r="F22" s="34"/>
      <c r="G22" s="39"/>
      <c r="H22" s="39"/>
    </row>
    <row r="23" spans="1:8" x14ac:dyDescent="0.3">
      <c r="A23" s="65"/>
      <c r="B23" s="65"/>
      <c r="C23" s="39"/>
      <c r="D23" s="39"/>
      <c r="E23" s="39"/>
      <c r="F23" s="39"/>
      <c r="G23" s="39"/>
      <c r="H23" s="39"/>
    </row>
    <row r="24" spans="1:8" s="39" customFormat="1" x14ac:dyDescent="0.3">
      <c r="A24" s="66"/>
      <c r="B24" s="67"/>
    </row>
    <row r="25" spans="1:8" s="39" customFormat="1" ht="7.5" customHeight="1" x14ac:dyDescent="0.3">
      <c r="A25" s="68"/>
      <c r="B25" s="67"/>
    </row>
    <row r="26" spans="1:8" s="39" customFormat="1" x14ac:dyDescent="0.3">
      <c r="A26" s="69"/>
      <c r="B26" s="67"/>
    </row>
    <row r="27" spans="1:8" s="39" customFormat="1" ht="7.5" customHeight="1" x14ac:dyDescent="0.3">
      <c r="A27" s="66"/>
      <c r="B27" s="67"/>
    </row>
    <row r="28" spans="1:8" s="39" customFormat="1" x14ac:dyDescent="0.3">
      <c r="A28" s="66"/>
      <c r="B28" s="67"/>
    </row>
    <row r="29" spans="1:8" s="39" customFormat="1" ht="7.5" customHeight="1" x14ac:dyDescent="0.3">
      <c r="A29" s="68"/>
      <c r="B29" s="67"/>
    </row>
    <row r="30" spans="1:8" s="39" customFormat="1" x14ac:dyDescent="0.3">
      <c r="A30" s="66"/>
      <c r="B30" s="67"/>
    </row>
    <row r="31" spans="1:8" s="39" customFormat="1" ht="7.5" customHeight="1" x14ac:dyDescent="0.3">
      <c r="A31" s="70"/>
      <c r="B31" s="67"/>
      <c r="D31" s="41"/>
    </row>
    <row r="32" spans="1:8" s="39" customFormat="1" x14ac:dyDescent="0.3">
      <c r="A32" s="66"/>
      <c r="B32" s="67"/>
    </row>
    <row r="33" spans="1:12" s="39" customFormat="1" ht="7.5" customHeight="1" x14ac:dyDescent="0.3">
      <c r="A33" s="70"/>
      <c r="B33" s="67"/>
      <c r="L33" s="41"/>
    </row>
    <row r="34" spans="1:12" s="39" customFormat="1" x14ac:dyDescent="0.3">
      <c r="A34" s="66"/>
      <c r="B34" s="67"/>
    </row>
    <row r="35" spans="1:12" s="39" customFormat="1" ht="7.5" customHeight="1" x14ac:dyDescent="0.3">
      <c r="A35" s="70"/>
      <c r="B35" s="67"/>
    </row>
    <row r="36" spans="1:12" s="39" customFormat="1" x14ac:dyDescent="0.3">
      <c r="A36" s="66"/>
      <c r="B36" s="67"/>
    </row>
    <row r="37" spans="1:12" s="39" customFormat="1" ht="7.5" customHeight="1" x14ac:dyDescent="0.3">
      <c r="A37" s="65"/>
      <c r="B37" s="65"/>
    </row>
    <row r="38" spans="1:12" s="39" customFormat="1" x14ac:dyDescent="0.3">
      <c r="B38" s="41"/>
    </row>
    <row r="39" spans="1:12" s="39" customFormat="1" ht="7.5" customHeight="1" x14ac:dyDescent="0.3">
      <c r="A39" s="64"/>
      <c r="B39" s="64"/>
    </row>
    <row r="40" spans="1:12" x14ac:dyDescent="0.3">
      <c r="A40" s="65"/>
      <c r="B40" s="65"/>
      <c r="C40" s="39"/>
      <c r="D40" s="39"/>
      <c r="E40" s="39"/>
      <c r="F40" s="39"/>
      <c r="G40" s="39"/>
      <c r="H40" s="39"/>
    </row>
    <row r="41" spans="1:12" s="39" customFormat="1" x14ac:dyDescent="0.3">
      <c r="A41" s="66"/>
      <c r="B41" s="67"/>
      <c r="E41" s="41"/>
    </row>
    <row r="42" spans="1:12" s="39" customFormat="1" ht="7.5" customHeight="1" x14ac:dyDescent="0.3">
      <c r="A42" s="68"/>
      <c r="B42" s="67"/>
    </row>
    <row r="43" spans="1:12" s="39" customFormat="1" x14ac:dyDescent="0.3">
      <c r="A43" s="66"/>
      <c r="B43" s="67"/>
    </row>
    <row r="44" spans="1:12" s="39" customFormat="1" ht="7.5" customHeight="1" x14ac:dyDescent="0.3">
      <c r="A44" s="66"/>
      <c r="B44" s="67"/>
    </row>
    <row r="45" spans="1:12" s="39" customFormat="1" x14ac:dyDescent="0.3">
      <c r="A45" s="66"/>
      <c r="B45" s="67"/>
    </row>
    <row r="46" spans="1:12" s="39" customFormat="1" ht="7.5" customHeight="1" x14ac:dyDescent="0.3">
      <c r="A46" s="68"/>
      <c r="B46" s="67"/>
    </row>
    <row r="47" spans="1:12" s="39" customFormat="1" x14ac:dyDescent="0.3">
      <c r="A47" s="66"/>
      <c r="B47" s="67"/>
    </row>
    <row r="48" spans="1:12" s="39" customFormat="1" ht="7.5" customHeight="1" x14ac:dyDescent="0.3">
      <c r="A48" s="70"/>
      <c r="B48" s="67"/>
    </row>
    <row r="49" spans="1:7" s="39" customFormat="1" x14ac:dyDescent="0.3">
      <c r="A49" s="66"/>
      <c r="B49" s="67"/>
    </row>
    <row r="50" spans="1:7" s="39" customFormat="1" ht="7.5" customHeight="1" x14ac:dyDescent="0.3">
      <c r="A50" s="70"/>
      <c r="B50" s="67"/>
    </row>
    <row r="51" spans="1:7" s="39" customFormat="1" x14ac:dyDescent="0.3">
      <c r="A51" s="66"/>
      <c r="B51" s="67"/>
    </row>
    <row r="52" spans="1:7" s="39" customFormat="1" ht="7.5" customHeight="1" x14ac:dyDescent="0.3">
      <c r="A52" s="70"/>
      <c r="B52" s="67"/>
    </row>
    <row r="53" spans="1:7" s="39" customFormat="1" x14ac:dyDescent="0.3">
      <c r="A53" s="66"/>
      <c r="B53" s="67"/>
    </row>
    <row r="54" spans="1:7" s="39" customFormat="1" ht="7.5" customHeight="1" x14ac:dyDescent="0.3">
      <c r="A54" s="65"/>
      <c r="B54" s="65"/>
    </row>
    <row r="55" spans="1:7" s="39" customFormat="1" x14ac:dyDescent="0.3">
      <c r="A55" s="71"/>
      <c r="B55" s="65"/>
    </row>
    <row r="56" spans="1:7" s="39" customFormat="1" ht="7.5" customHeight="1" x14ac:dyDescent="0.3">
      <c r="A56" s="72"/>
      <c r="B56" s="65"/>
    </row>
    <row r="57" spans="1:7" s="39" customFormat="1" x14ac:dyDescent="0.3">
      <c r="A57" s="72"/>
      <c r="B57" s="67"/>
    </row>
    <row r="58" spans="1:7" s="39" customFormat="1" x14ac:dyDescent="0.3">
      <c r="A58" s="72"/>
      <c r="B58" s="65"/>
    </row>
    <row r="59" spans="1:7" s="39" customFormat="1" x14ac:dyDescent="0.3">
      <c r="A59" s="71"/>
      <c r="B59" s="65"/>
    </row>
    <row r="60" spans="1:7" s="39" customFormat="1" x14ac:dyDescent="0.3"/>
    <row r="61" spans="1:7" s="39" customFormat="1" x14ac:dyDescent="0.3"/>
    <row r="62" spans="1:7" s="39" customFormat="1" x14ac:dyDescent="0.3"/>
    <row r="63" spans="1:7" s="39" customFormat="1" x14ac:dyDescent="0.3">
      <c r="E63" s="41"/>
      <c r="F63" s="41"/>
      <c r="G63" s="41"/>
    </row>
    <row r="64" spans="1:7" s="39" customFormat="1" x14ac:dyDescent="0.3">
      <c r="E64" s="41"/>
      <c r="F64" s="41"/>
      <c r="G64" s="41"/>
    </row>
    <row r="65" s="39" customFormat="1" x14ac:dyDescent="0.3"/>
    <row r="66" s="39" customFormat="1" x14ac:dyDescent="0.3"/>
    <row r="67" s="39" customFormat="1" x14ac:dyDescent="0.3"/>
    <row r="68" s="39" customFormat="1" x14ac:dyDescent="0.3"/>
    <row r="69" s="39" customFormat="1" x14ac:dyDescent="0.3"/>
    <row r="70" s="39" customFormat="1" x14ac:dyDescent="0.3"/>
    <row r="71" s="39" customFormat="1" x14ac:dyDescent="0.3"/>
    <row r="72" s="39" customFormat="1" x14ac:dyDescent="0.3"/>
    <row r="73" s="39" customFormat="1" x14ac:dyDescent="0.3"/>
    <row r="74" s="39" customFormat="1" x14ac:dyDescent="0.3"/>
    <row r="75" s="39" customFormat="1" x14ac:dyDescent="0.3"/>
    <row r="76" s="39" customFormat="1" x14ac:dyDescent="0.3"/>
    <row r="77" s="39" customFormat="1" x14ac:dyDescent="0.3"/>
    <row r="78" s="39" customFormat="1" x14ac:dyDescent="0.3"/>
    <row r="79" s="39" customFormat="1" x14ac:dyDescent="0.3"/>
    <row r="80" s="39" customFormat="1" x14ac:dyDescent="0.3"/>
    <row r="81" spans="5:7" s="39" customFormat="1" x14ac:dyDescent="0.3"/>
    <row r="82" spans="5:7" s="39" customFormat="1" x14ac:dyDescent="0.3">
      <c r="E82" s="41"/>
      <c r="F82" s="41"/>
      <c r="G82" s="41"/>
    </row>
    <row r="83" spans="5:7" s="39" customFormat="1" x14ac:dyDescent="0.3">
      <c r="E83" s="41"/>
      <c r="F83" s="41"/>
      <c r="G83" s="41"/>
    </row>
    <row r="84" spans="5:7" s="39" customFormat="1" x14ac:dyDescent="0.3">
      <c r="E84" s="41"/>
      <c r="F84" s="41"/>
      <c r="G84" s="41"/>
    </row>
    <row r="85" spans="5:7" s="39" customFormat="1" x14ac:dyDescent="0.3">
      <c r="E85" s="41"/>
      <c r="F85" s="41"/>
      <c r="G85" s="41"/>
    </row>
    <row r="86" spans="5:7" s="39" customFormat="1" x14ac:dyDescent="0.3">
      <c r="E86" s="41"/>
      <c r="F86" s="41"/>
      <c r="G86" s="41"/>
    </row>
    <row r="87" spans="5:7" s="39" customFormat="1" x14ac:dyDescent="0.3">
      <c r="E87" s="41"/>
      <c r="F87" s="41"/>
      <c r="G87" s="41"/>
    </row>
    <row r="88" spans="5:7" s="39" customFormat="1" x14ac:dyDescent="0.3">
      <c r="E88" s="41"/>
      <c r="F88" s="41"/>
      <c r="G88" s="41"/>
    </row>
    <row r="89" spans="5:7" s="39" customFormat="1" x14ac:dyDescent="0.3">
      <c r="E89" s="41"/>
      <c r="F89" s="41"/>
      <c r="G89" s="41"/>
    </row>
    <row r="90" spans="5:7" s="39" customFormat="1" x14ac:dyDescent="0.3">
      <c r="E90" s="41"/>
      <c r="F90" s="41"/>
      <c r="G90" s="41"/>
    </row>
    <row r="91" spans="5:7" s="39" customFormat="1" x14ac:dyDescent="0.3">
      <c r="E91" s="41"/>
      <c r="F91" s="41"/>
      <c r="G91" s="41"/>
    </row>
    <row r="92" spans="5:7" s="39" customFormat="1" x14ac:dyDescent="0.3">
      <c r="E92" s="41"/>
      <c r="F92" s="41"/>
      <c r="G92" s="41"/>
    </row>
    <row r="93" spans="5:7" s="39" customFormat="1" x14ac:dyDescent="0.3">
      <c r="E93" s="41"/>
      <c r="F93" s="41"/>
      <c r="G93" s="41"/>
    </row>
    <row r="94" spans="5:7" s="39" customFormat="1" x14ac:dyDescent="0.3">
      <c r="E94" s="41"/>
      <c r="F94" s="41"/>
      <c r="G94" s="41"/>
    </row>
    <row r="95" spans="5:7" s="39" customFormat="1" x14ac:dyDescent="0.3">
      <c r="E95" s="41"/>
      <c r="F95" s="41"/>
      <c r="G95" s="41"/>
    </row>
    <row r="96" spans="5:7" s="39" customFormat="1" x14ac:dyDescent="0.3">
      <c r="E96" s="41"/>
      <c r="F96" s="41"/>
      <c r="G96" s="41"/>
    </row>
    <row r="97" spans="5:7" s="39" customFormat="1" x14ac:dyDescent="0.3">
      <c r="E97" s="41"/>
      <c r="F97" s="41"/>
      <c r="G97" s="41"/>
    </row>
    <row r="98" spans="5:7" s="39" customFormat="1" x14ac:dyDescent="0.3">
      <c r="E98" s="41"/>
      <c r="F98" s="41"/>
      <c r="G98" s="41"/>
    </row>
    <row r="99" spans="5:7" s="39" customFormat="1" x14ac:dyDescent="0.3">
      <c r="E99" s="41"/>
      <c r="F99" s="41"/>
      <c r="G99" s="41"/>
    </row>
    <row r="100" spans="5:7" s="39" customFormat="1" x14ac:dyDescent="0.3">
      <c r="E100" s="41"/>
      <c r="F100" s="41"/>
      <c r="G100" s="41"/>
    </row>
    <row r="101" spans="5:7" s="39" customFormat="1" x14ac:dyDescent="0.3">
      <c r="E101" s="41"/>
      <c r="F101" s="41"/>
      <c r="G101" s="41"/>
    </row>
    <row r="102" spans="5:7" s="39" customFormat="1" x14ac:dyDescent="0.3">
      <c r="E102" s="41"/>
      <c r="F102" s="41"/>
      <c r="G102" s="41"/>
    </row>
    <row r="103" spans="5:7" s="39" customFormat="1" x14ac:dyDescent="0.3">
      <c r="E103" s="41"/>
      <c r="F103" s="41"/>
      <c r="G103" s="41"/>
    </row>
    <row r="104" spans="5:7" s="39" customFormat="1" x14ac:dyDescent="0.3">
      <c r="E104" s="41"/>
      <c r="F104" s="41"/>
      <c r="G104" s="41"/>
    </row>
    <row r="105" spans="5:7" s="39" customFormat="1" x14ac:dyDescent="0.3">
      <c r="E105" s="41"/>
      <c r="F105" s="41"/>
      <c r="G105" s="41"/>
    </row>
    <row r="106" spans="5:7" s="39" customFormat="1" x14ac:dyDescent="0.3">
      <c r="E106" s="41"/>
      <c r="F106" s="41"/>
      <c r="G106" s="41"/>
    </row>
    <row r="107" spans="5:7" s="39" customFormat="1" x14ac:dyDescent="0.3">
      <c r="E107" s="41"/>
      <c r="F107" s="41"/>
      <c r="G107" s="41"/>
    </row>
    <row r="108" spans="5:7" s="39" customFormat="1" x14ac:dyDescent="0.3">
      <c r="E108" s="41"/>
      <c r="F108" s="41"/>
      <c r="G108" s="41"/>
    </row>
    <row r="109" spans="5:7" s="39" customFormat="1" x14ac:dyDescent="0.3">
      <c r="E109" s="41"/>
      <c r="F109" s="41"/>
      <c r="G109" s="41"/>
    </row>
    <row r="110" spans="5:7" s="39" customFormat="1" x14ac:dyDescent="0.3">
      <c r="E110" s="41"/>
      <c r="F110" s="41"/>
      <c r="G110" s="41"/>
    </row>
    <row r="111" spans="5:7" s="39" customFormat="1" x14ac:dyDescent="0.3">
      <c r="E111" s="41"/>
      <c r="F111" s="41"/>
      <c r="G111" s="41"/>
    </row>
    <row r="112" spans="5:7" s="39" customFormat="1" x14ac:dyDescent="0.3">
      <c r="E112" s="41"/>
      <c r="F112" s="41"/>
      <c r="G112" s="41"/>
    </row>
    <row r="113" spans="5:7" s="39" customFormat="1" x14ac:dyDescent="0.3">
      <c r="E113" s="41"/>
      <c r="F113" s="41"/>
      <c r="G113" s="41"/>
    </row>
    <row r="114" spans="5:7" s="39" customFormat="1" x14ac:dyDescent="0.3">
      <c r="E114" s="41"/>
      <c r="F114" s="41"/>
      <c r="G114" s="41"/>
    </row>
    <row r="115" spans="5:7" s="39" customFormat="1" x14ac:dyDescent="0.3">
      <c r="E115" s="41"/>
      <c r="F115" s="41"/>
      <c r="G115" s="41"/>
    </row>
    <row r="116" spans="5:7" s="39" customFormat="1" x14ac:dyDescent="0.3">
      <c r="E116" s="41"/>
      <c r="F116" s="41"/>
      <c r="G116" s="41"/>
    </row>
    <row r="117" spans="5:7" s="39" customFormat="1" x14ac:dyDescent="0.3">
      <c r="E117" s="41"/>
      <c r="F117" s="41"/>
      <c r="G117" s="41"/>
    </row>
    <row r="118" spans="5:7" s="39" customFormat="1" x14ac:dyDescent="0.3">
      <c r="E118" s="41"/>
      <c r="F118" s="41"/>
      <c r="G118" s="41"/>
    </row>
    <row r="119" spans="5:7" s="39" customFormat="1" x14ac:dyDescent="0.3">
      <c r="E119" s="41"/>
      <c r="F119" s="41"/>
      <c r="G119" s="41"/>
    </row>
    <row r="120" spans="5:7" s="39" customFormat="1" x14ac:dyDescent="0.3">
      <c r="E120" s="41"/>
      <c r="F120" s="41"/>
      <c r="G120" s="41"/>
    </row>
    <row r="121" spans="5:7" s="39" customFormat="1" x14ac:dyDescent="0.3">
      <c r="E121" s="41"/>
      <c r="F121" s="41"/>
      <c r="G121" s="41"/>
    </row>
    <row r="122" spans="5:7" s="39" customFormat="1" x14ac:dyDescent="0.3">
      <c r="E122" s="41"/>
      <c r="F122" s="41"/>
      <c r="G122" s="41"/>
    </row>
    <row r="123" spans="5:7" s="39" customFormat="1" x14ac:dyDescent="0.3">
      <c r="E123" s="41"/>
      <c r="F123" s="41"/>
      <c r="G123" s="41"/>
    </row>
    <row r="124" spans="5:7" s="39" customFormat="1" x14ac:dyDescent="0.3">
      <c r="E124" s="41"/>
      <c r="F124" s="41"/>
      <c r="G124" s="41"/>
    </row>
    <row r="125" spans="5:7" s="39" customFormat="1" x14ac:dyDescent="0.3">
      <c r="E125" s="41"/>
      <c r="F125" s="41"/>
      <c r="G125" s="41"/>
    </row>
    <row r="126" spans="5:7" s="39" customFormat="1" x14ac:dyDescent="0.3">
      <c r="E126" s="41"/>
      <c r="F126" s="41"/>
      <c r="G126" s="41"/>
    </row>
    <row r="127" spans="5:7" s="39" customFormat="1" x14ac:dyDescent="0.3">
      <c r="E127" s="41"/>
      <c r="F127" s="41"/>
      <c r="G127" s="41"/>
    </row>
    <row r="128" spans="5:7" s="39" customFormat="1" x14ac:dyDescent="0.3">
      <c r="E128" s="41"/>
      <c r="F128" s="41"/>
      <c r="G128" s="41"/>
    </row>
    <row r="129" spans="5:7" s="39" customFormat="1" x14ac:dyDescent="0.3">
      <c r="E129" s="41"/>
      <c r="F129" s="41"/>
      <c r="G129" s="41"/>
    </row>
    <row r="130" spans="5:7" s="39" customFormat="1" x14ac:dyDescent="0.3">
      <c r="E130" s="41"/>
      <c r="F130" s="41"/>
      <c r="G130" s="41"/>
    </row>
    <row r="131" spans="5:7" s="39" customFormat="1" x14ac:dyDescent="0.3">
      <c r="E131" s="41"/>
      <c r="F131" s="41"/>
      <c r="G131" s="41"/>
    </row>
    <row r="132" spans="5:7" s="39" customFormat="1" x14ac:dyDescent="0.3">
      <c r="E132" s="41"/>
      <c r="F132" s="41"/>
      <c r="G132" s="41"/>
    </row>
    <row r="133" spans="5:7" s="39" customFormat="1" x14ac:dyDescent="0.3">
      <c r="E133" s="41"/>
      <c r="F133" s="41"/>
      <c r="G133" s="41"/>
    </row>
    <row r="134" spans="5:7" s="39" customFormat="1" x14ac:dyDescent="0.3">
      <c r="E134" s="41"/>
      <c r="F134" s="41"/>
      <c r="G134" s="41"/>
    </row>
    <row r="135" spans="5:7" s="39" customFormat="1" x14ac:dyDescent="0.3">
      <c r="E135" s="41"/>
      <c r="F135" s="41"/>
      <c r="G135" s="41"/>
    </row>
    <row r="136" spans="5:7" s="39" customFormat="1" x14ac:dyDescent="0.3">
      <c r="E136" s="41"/>
      <c r="F136" s="41"/>
      <c r="G136" s="41"/>
    </row>
    <row r="137" spans="5:7" s="39" customFormat="1" x14ac:dyDescent="0.3">
      <c r="E137" s="41"/>
      <c r="F137" s="41"/>
      <c r="G137" s="41"/>
    </row>
    <row r="138" spans="5:7" s="39" customFormat="1" x14ac:dyDescent="0.3">
      <c r="E138" s="41"/>
      <c r="F138" s="41"/>
      <c r="G138" s="41"/>
    </row>
    <row r="139" spans="5:7" s="39" customFormat="1" x14ac:dyDescent="0.3">
      <c r="E139" s="41"/>
      <c r="F139" s="41"/>
      <c r="G139" s="41"/>
    </row>
    <row r="140" spans="5:7" s="39" customFormat="1" x14ac:dyDescent="0.3">
      <c r="E140" s="41"/>
      <c r="F140" s="41"/>
      <c r="G140" s="41"/>
    </row>
    <row r="141" spans="5:7" s="39" customFormat="1" x14ac:dyDescent="0.3">
      <c r="E141" s="41"/>
      <c r="F141" s="41"/>
      <c r="G141" s="41"/>
    </row>
    <row r="142" spans="5:7" s="39" customFormat="1" x14ac:dyDescent="0.3">
      <c r="E142" s="41"/>
      <c r="F142" s="41"/>
      <c r="G142" s="41"/>
    </row>
    <row r="143" spans="5:7" s="39" customFormat="1" x14ac:dyDescent="0.3">
      <c r="E143" s="41"/>
      <c r="F143" s="41"/>
      <c r="G143" s="41"/>
    </row>
    <row r="144" spans="5:7" s="39" customFormat="1" x14ac:dyDescent="0.3">
      <c r="E144" s="41"/>
      <c r="F144" s="41"/>
      <c r="G144" s="41"/>
    </row>
    <row r="145" spans="5:7" s="39" customFormat="1" x14ac:dyDescent="0.3">
      <c r="E145" s="41"/>
      <c r="F145" s="41"/>
      <c r="G145" s="41"/>
    </row>
    <row r="146" spans="5:7" s="39" customFormat="1" x14ac:dyDescent="0.3">
      <c r="E146" s="41"/>
      <c r="F146" s="41"/>
      <c r="G146" s="41"/>
    </row>
    <row r="147" spans="5:7" s="39" customFormat="1" x14ac:dyDescent="0.3">
      <c r="E147" s="41"/>
      <c r="F147" s="41"/>
      <c r="G147" s="41"/>
    </row>
    <row r="148" spans="5:7" s="39" customFormat="1" x14ac:dyDescent="0.3">
      <c r="E148" s="41"/>
      <c r="F148" s="41"/>
      <c r="G148" s="41"/>
    </row>
    <row r="149" spans="5:7" s="39" customFormat="1" x14ac:dyDescent="0.3">
      <c r="E149" s="41"/>
      <c r="F149" s="41"/>
      <c r="G149" s="41"/>
    </row>
    <row r="150" spans="5:7" s="39" customFormat="1" x14ac:dyDescent="0.3">
      <c r="E150" s="41"/>
      <c r="F150" s="41"/>
      <c r="G150" s="41"/>
    </row>
    <row r="151" spans="5:7" s="39" customFormat="1" x14ac:dyDescent="0.3">
      <c r="E151" s="41"/>
      <c r="F151" s="41"/>
      <c r="G151" s="41"/>
    </row>
    <row r="152" spans="5:7" s="39" customFormat="1" x14ac:dyDescent="0.3">
      <c r="E152" s="41"/>
      <c r="F152" s="41"/>
      <c r="G152" s="41"/>
    </row>
    <row r="153" spans="5:7" s="39" customFormat="1" x14ac:dyDescent="0.3">
      <c r="E153" s="41"/>
      <c r="F153" s="41"/>
      <c r="G153" s="41"/>
    </row>
    <row r="154" spans="5:7" s="39" customFormat="1" x14ac:dyDescent="0.3">
      <c r="E154" s="41"/>
      <c r="F154" s="41"/>
      <c r="G154" s="41"/>
    </row>
    <row r="155" spans="5:7" s="39" customFormat="1" x14ac:dyDescent="0.3">
      <c r="E155" s="41"/>
      <c r="F155" s="41"/>
      <c r="G155" s="41"/>
    </row>
    <row r="156" spans="5:7" s="39" customFormat="1" x14ac:dyDescent="0.3">
      <c r="E156" s="41"/>
      <c r="F156" s="41"/>
      <c r="G156" s="41"/>
    </row>
    <row r="157" spans="5:7" s="39" customFormat="1" x14ac:dyDescent="0.3">
      <c r="E157" s="41"/>
      <c r="F157" s="41"/>
      <c r="G157" s="41"/>
    </row>
    <row r="158" spans="5:7" s="39" customFormat="1" x14ac:dyDescent="0.3">
      <c r="E158" s="41"/>
      <c r="F158" s="41"/>
      <c r="G158" s="41"/>
    </row>
    <row r="159" spans="5:7" s="39" customFormat="1" x14ac:dyDescent="0.3">
      <c r="E159" s="41"/>
      <c r="F159" s="41"/>
      <c r="G159" s="41"/>
    </row>
    <row r="160" spans="5:7" s="39" customFormat="1" x14ac:dyDescent="0.3">
      <c r="E160" s="41"/>
      <c r="F160" s="41"/>
      <c r="G160" s="41"/>
    </row>
    <row r="161" spans="5:7" s="39" customFormat="1" x14ac:dyDescent="0.3">
      <c r="E161" s="41"/>
      <c r="F161" s="41"/>
      <c r="G161" s="41"/>
    </row>
    <row r="162" spans="5:7" s="39" customFormat="1" x14ac:dyDescent="0.3">
      <c r="E162" s="41"/>
      <c r="F162" s="41"/>
      <c r="G162" s="41"/>
    </row>
    <row r="163" spans="5:7" s="39" customFormat="1" x14ac:dyDescent="0.3">
      <c r="E163" s="41"/>
      <c r="F163" s="41"/>
      <c r="G163" s="41"/>
    </row>
    <row r="164" spans="5:7" s="39" customFormat="1" x14ac:dyDescent="0.3">
      <c r="E164" s="41"/>
      <c r="F164" s="41"/>
      <c r="G164" s="41"/>
    </row>
    <row r="165" spans="5:7" s="39" customFormat="1" x14ac:dyDescent="0.3">
      <c r="E165" s="41"/>
      <c r="F165" s="41"/>
      <c r="G165" s="41"/>
    </row>
    <row r="166" spans="5:7" s="39" customFormat="1" x14ac:dyDescent="0.3">
      <c r="E166" s="41"/>
      <c r="F166" s="41"/>
      <c r="G166" s="41"/>
    </row>
    <row r="167" spans="5:7" s="39" customFormat="1" x14ac:dyDescent="0.3">
      <c r="E167" s="41"/>
      <c r="F167" s="41"/>
      <c r="G167" s="41"/>
    </row>
    <row r="168" spans="5:7" s="39" customFormat="1" x14ac:dyDescent="0.3">
      <c r="E168" s="41"/>
      <c r="F168" s="41"/>
      <c r="G168" s="41"/>
    </row>
    <row r="169" spans="5:7" s="39" customFormat="1" x14ac:dyDescent="0.3">
      <c r="E169" s="41"/>
      <c r="F169" s="41"/>
      <c r="G169" s="41"/>
    </row>
    <row r="170" spans="5:7" s="39" customFormat="1" x14ac:dyDescent="0.3">
      <c r="E170" s="41"/>
      <c r="F170" s="41"/>
      <c r="G170" s="41"/>
    </row>
    <row r="171" spans="5:7" s="39" customFormat="1" x14ac:dyDescent="0.3">
      <c r="E171" s="41"/>
      <c r="F171" s="41"/>
      <c r="G171" s="41"/>
    </row>
    <row r="172" spans="5:7" s="39" customFormat="1" x14ac:dyDescent="0.3">
      <c r="E172" s="41"/>
      <c r="F172" s="41"/>
      <c r="G172" s="41"/>
    </row>
    <row r="173" spans="5:7" s="39" customFormat="1" x14ac:dyDescent="0.3">
      <c r="E173" s="41"/>
      <c r="F173" s="41"/>
      <c r="G173" s="41"/>
    </row>
    <row r="174" spans="5:7" s="39" customFormat="1" x14ac:dyDescent="0.3">
      <c r="E174" s="41"/>
      <c r="F174" s="41"/>
      <c r="G174" s="41"/>
    </row>
    <row r="175" spans="5:7" s="39" customFormat="1" x14ac:dyDescent="0.3">
      <c r="E175" s="41"/>
      <c r="F175" s="41"/>
      <c r="G175" s="41"/>
    </row>
    <row r="176" spans="5:7" s="39" customFormat="1" x14ac:dyDescent="0.3">
      <c r="E176" s="41"/>
      <c r="F176" s="41"/>
      <c r="G176" s="41"/>
    </row>
    <row r="177" spans="5:7" s="39" customFormat="1" x14ac:dyDescent="0.3">
      <c r="E177" s="41"/>
      <c r="F177" s="41"/>
      <c r="G177" s="41"/>
    </row>
    <row r="178" spans="5:7" s="39" customFormat="1" x14ac:dyDescent="0.3">
      <c r="E178" s="41"/>
      <c r="F178" s="41"/>
      <c r="G178" s="41"/>
    </row>
    <row r="179" spans="5:7" s="39" customFormat="1" x14ac:dyDescent="0.3">
      <c r="E179" s="41"/>
      <c r="F179" s="41"/>
      <c r="G179" s="41"/>
    </row>
    <row r="180" spans="5:7" s="39" customFormat="1" x14ac:dyDescent="0.3">
      <c r="E180" s="41"/>
      <c r="F180" s="41"/>
      <c r="G180" s="41"/>
    </row>
    <row r="181" spans="5:7" s="39" customFormat="1" x14ac:dyDescent="0.3">
      <c r="E181" s="41"/>
      <c r="F181" s="41"/>
      <c r="G181" s="41"/>
    </row>
    <row r="182" spans="5:7" s="39" customFormat="1" x14ac:dyDescent="0.3">
      <c r="E182" s="41"/>
      <c r="F182" s="41"/>
      <c r="G182" s="41"/>
    </row>
    <row r="183" spans="5:7" s="39" customFormat="1" x14ac:dyDescent="0.3">
      <c r="E183" s="41"/>
      <c r="F183" s="41"/>
      <c r="G183" s="41"/>
    </row>
    <row r="184" spans="5:7" s="39" customFormat="1" x14ac:dyDescent="0.3">
      <c r="E184" s="41"/>
      <c r="F184" s="41"/>
      <c r="G184" s="41"/>
    </row>
    <row r="185" spans="5:7" s="39" customFormat="1" x14ac:dyDescent="0.3">
      <c r="E185" s="41"/>
      <c r="F185" s="41"/>
      <c r="G185" s="41"/>
    </row>
    <row r="186" spans="5:7" s="39" customFormat="1" x14ac:dyDescent="0.3">
      <c r="E186" s="41"/>
      <c r="F186" s="41"/>
      <c r="G186" s="41"/>
    </row>
    <row r="187" spans="5:7" s="39" customFormat="1" x14ac:dyDescent="0.3">
      <c r="E187" s="41"/>
      <c r="F187" s="41"/>
      <c r="G187" s="41"/>
    </row>
    <row r="188" spans="5:7" s="39" customFormat="1" x14ac:dyDescent="0.3">
      <c r="E188" s="41"/>
      <c r="F188" s="41"/>
      <c r="G188" s="41"/>
    </row>
    <row r="189" spans="5:7" s="39" customFormat="1" x14ac:dyDescent="0.3">
      <c r="E189" s="41"/>
      <c r="F189" s="41"/>
      <c r="G189" s="41"/>
    </row>
    <row r="190" spans="5:7" s="39" customFormat="1" x14ac:dyDescent="0.3">
      <c r="E190" s="41"/>
      <c r="F190" s="41"/>
      <c r="G190" s="41"/>
    </row>
    <row r="191" spans="5:7" s="39" customFormat="1" x14ac:dyDescent="0.3">
      <c r="E191" s="41"/>
      <c r="F191" s="41"/>
      <c r="G191" s="41"/>
    </row>
    <row r="192" spans="5:7" s="39" customFormat="1" x14ac:dyDescent="0.3">
      <c r="E192" s="41"/>
      <c r="F192" s="41"/>
      <c r="G192" s="41"/>
    </row>
    <row r="193" spans="5:7" s="39" customFormat="1" x14ac:dyDescent="0.3">
      <c r="E193" s="41"/>
      <c r="F193" s="41"/>
      <c r="G193" s="41"/>
    </row>
    <row r="194" spans="5:7" s="39" customFormat="1" x14ac:dyDescent="0.3">
      <c r="E194" s="41"/>
      <c r="F194" s="41"/>
      <c r="G194" s="41"/>
    </row>
    <row r="195" spans="5:7" s="39" customFormat="1" x14ac:dyDescent="0.3">
      <c r="E195" s="41"/>
      <c r="F195" s="41"/>
      <c r="G195" s="41"/>
    </row>
    <row r="196" spans="5:7" s="39" customFormat="1" x14ac:dyDescent="0.3">
      <c r="E196" s="41"/>
      <c r="F196" s="41"/>
      <c r="G196" s="41"/>
    </row>
    <row r="197" spans="5:7" s="39" customFormat="1" x14ac:dyDescent="0.3">
      <c r="E197" s="41"/>
      <c r="F197" s="41"/>
      <c r="G197" s="41"/>
    </row>
    <row r="198" spans="5:7" s="39" customFormat="1" x14ac:dyDescent="0.3">
      <c r="E198" s="41"/>
      <c r="F198" s="41"/>
      <c r="G198" s="41"/>
    </row>
    <row r="199" spans="5:7" s="39" customFormat="1" x14ac:dyDescent="0.3">
      <c r="E199" s="41"/>
      <c r="F199" s="41"/>
      <c r="G199" s="41"/>
    </row>
    <row r="200" spans="5:7" s="39" customFormat="1" x14ac:dyDescent="0.3">
      <c r="E200" s="41"/>
      <c r="F200" s="41"/>
      <c r="G200" s="41"/>
    </row>
    <row r="201" spans="5:7" s="39" customFormat="1" x14ac:dyDescent="0.3">
      <c r="E201" s="41"/>
      <c r="F201" s="41"/>
      <c r="G201" s="41"/>
    </row>
    <row r="202" spans="5:7" s="39" customFormat="1" x14ac:dyDescent="0.3">
      <c r="E202" s="41"/>
      <c r="F202" s="41"/>
      <c r="G202" s="41"/>
    </row>
    <row r="203" spans="5:7" s="39" customFormat="1" x14ac:dyDescent="0.3">
      <c r="E203" s="41"/>
      <c r="F203" s="41"/>
      <c r="G203" s="41"/>
    </row>
    <row r="204" spans="5:7" s="39" customFormat="1" x14ac:dyDescent="0.3">
      <c r="E204" s="41"/>
      <c r="F204" s="41"/>
      <c r="G204" s="41"/>
    </row>
    <row r="205" spans="5:7" s="39" customFormat="1" x14ac:dyDescent="0.3">
      <c r="E205" s="41"/>
      <c r="F205" s="41"/>
      <c r="G205" s="41"/>
    </row>
    <row r="206" spans="5:7" s="39" customFormat="1" x14ac:dyDescent="0.3">
      <c r="E206" s="41"/>
      <c r="F206" s="41"/>
      <c r="G206" s="41"/>
    </row>
    <row r="207" spans="5:7" s="39" customFormat="1" x14ac:dyDescent="0.3">
      <c r="E207" s="41"/>
      <c r="F207" s="41"/>
      <c r="G207" s="41"/>
    </row>
    <row r="208" spans="5:7" s="39" customFormat="1" x14ac:dyDescent="0.3">
      <c r="E208" s="41"/>
      <c r="F208" s="41"/>
      <c r="G208" s="41"/>
    </row>
    <row r="209" spans="5:7" s="39" customFormat="1" x14ac:dyDescent="0.3">
      <c r="E209" s="41"/>
      <c r="F209" s="41"/>
      <c r="G209" s="41"/>
    </row>
    <row r="210" spans="5:7" s="39" customFormat="1" x14ac:dyDescent="0.3">
      <c r="E210" s="41"/>
      <c r="F210" s="41"/>
      <c r="G210" s="41"/>
    </row>
    <row r="211" spans="5:7" s="39" customFormat="1" x14ac:dyDescent="0.3">
      <c r="E211" s="41"/>
      <c r="F211" s="41"/>
      <c r="G211" s="41"/>
    </row>
    <row r="212" spans="5:7" s="39" customFormat="1" x14ac:dyDescent="0.3">
      <c r="E212" s="41"/>
      <c r="F212" s="41"/>
      <c r="G212" s="41"/>
    </row>
    <row r="213" spans="5:7" s="39" customFormat="1" x14ac:dyDescent="0.3">
      <c r="E213" s="41"/>
      <c r="F213" s="41"/>
      <c r="G213" s="41"/>
    </row>
    <row r="214" spans="5:7" s="39" customFormat="1" x14ac:dyDescent="0.3">
      <c r="E214" s="41"/>
      <c r="F214" s="41"/>
      <c r="G214" s="41"/>
    </row>
    <row r="215" spans="5:7" s="39" customFormat="1" x14ac:dyDescent="0.3">
      <c r="E215" s="41"/>
      <c r="F215" s="41"/>
      <c r="G215" s="41"/>
    </row>
    <row r="216" spans="5:7" s="39" customFormat="1" x14ac:dyDescent="0.3">
      <c r="E216" s="41"/>
      <c r="F216" s="41"/>
      <c r="G216" s="41"/>
    </row>
    <row r="217" spans="5:7" s="39" customFormat="1" x14ac:dyDescent="0.3">
      <c r="E217" s="41"/>
      <c r="F217" s="41"/>
      <c r="G217" s="41"/>
    </row>
    <row r="218" spans="5:7" s="39" customFormat="1" x14ac:dyDescent="0.3">
      <c r="E218" s="41"/>
      <c r="F218" s="41"/>
      <c r="G218" s="41"/>
    </row>
    <row r="219" spans="5:7" s="39" customFormat="1" x14ac:dyDescent="0.3">
      <c r="E219" s="41"/>
      <c r="F219" s="41"/>
      <c r="G219" s="41"/>
    </row>
    <row r="220" spans="5:7" s="39" customFormat="1" x14ac:dyDescent="0.3">
      <c r="E220" s="41"/>
      <c r="F220" s="41"/>
      <c r="G220" s="41"/>
    </row>
    <row r="221" spans="5:7" s="39" customFormat="1" x14ac:dyDescent="0.3">
      <c r="E221" s="41"/>
      <c r="F221" s="41"/>
      <c r="G221" s="41"/>
    </row>
    <row r="222" spans="5:7" s="39" customFormat="1" x14ac:dyDescent="0.3">
      <c r="E222" s="41"/>
      <c r="F222" s="41"/>
      <c r="G222" s="41"/>
    </row>
    <row r="223" spans="5:7" s="39" customFormat="1" x14ac:dyDescent="0.3">
      <c r="E223" s="41"/>
      <c r="F223" s="41"/>
      <c r="G223" s="41"/>
    </row>
    <row r="224" spans="5:7" s="39" customFormat="1" x14ac:dyDescent="0.3">
      <c r="E224" s="41"/>
      <c r="F224" s="41"/>
      <c r="G224" s="41"/>
    </row>
    <row r="225" spans="5:7" s="39" customFormat="1" x14ac:dyDescent="0.3">
      <c r="E225" s="41"/>
      <c r="F225" s="41"/>
      <c r="G225" s="41"/>
    </row>
    <row r="226" spans="5:7" s="39" customFormat="1" x14ac:dyDescent="0.3">
      <c r="E226" s="41"/>
      <c r="F226" s="41"/>
      <c r="G226" s="41"/>
    </row>
    <row r="227" spans="5:7" s="39" customFormat="1" x14ac:dyDescent="0.3">
      <c r="E227" s="41"/>
      <c r="F227" s="41"/>
      <c r="G227" s="41"/>
    </row>
    <row r="228" spans="5:7" s="39" customFormat="1" x14ac:dyDescent="0.3">
      <c r="E228" s="41"/>
      <c r="F228" s="41"/>
      <c r="G228" s="41"/>
    </row>
    <row r="229" spans="5:7" s="39" customFormat="1" x14ac:dyDescent="0.3">
      <c r="E229" s="41"/>
      <c r="F229" s="41"/>
      <c r="G229" s="41"/>
    </row>
    <row r="230" spans="5:7" s="39" customFormat="1" x14ac:dyDescent="0.3">
      <c r="E230" s="41"/>
      <c r="F230" s="41"/>
      <c r="G230" s="41"/>
    </row>
    <row r="231" spans="5:7" s="39" customFormat="1" x14ac:dyDescent="0.3">
      <c r="E231" s="41"/>
      <c r="F231" s="41"/>
      <c r="G231" s="41"/>
    </row>
    <row r="232" spans="5:7" s="39" customFormat="1" x14ac:dyDescent="0.3">
      <c r="E232" s="41"/>
      <c r="F232" s="41"/>
      <c r="G232" s="41"/>
    </row>
    <row r="233" spans="5:7" s="39" customFormat="1" x14ac:dyDescent="0.3">
      <c r="E233" s="41"/>
      <c r="F233" s="41"/>
      <c r="G233" s="41"/>
    </row>
    <row r="234" spans="5:7" s="39" customFormat="1" x14ac:dyDescent="0.3">
      <c r="E234" s="41"/>
      <c r="F234" s="41"/>
      <c r="G234" s="41"/>
    </row>
    <row r="235" spans="5:7" s="39" customFormat="1" x14ac:dyDescent="0.3">
      <c r="E235" s="41"/>
      <c r="F235" s="41"/>
      <c r="G235" s="41"/>
    </row>
    <row r="236" spans="5:7" s="39" customFormat="1" x14ac:dyDescent="0.3">
      <c r="E236" s="41"/>
      <c r="F236" s="41"/>
      <c r="G236" s="41"/>
    </row>
    <row r="237" spans="5:7" s="39" customFormat="1" x14ac:dyDescent="0.3">
      <c r="E237" s="41"/>
      <c r="F237" s="41"/>
      <c r="G237" s="41"/>
    </row>
    <row r="238" spans="5:7" s="39" customFormat="1" x14ac:dyDescent="0.3">
      <c r="E238" s="41"/>
      <c r="F238" s="41"/>
      <c r="G238" s="41"/>
    </row>
    <row r="239" spans="5:7" s="39" customFormat="1" x14ac:dyDescent="0.3">
      <c r="E239" s="41"/>
      <c r="F239" s="41"/>
      <c r="G239" s="41"/>
    </row>
    <row r="240" spans="5:7" s="39" customFormat="1" x14ac:dyDescent="0.3">
      <c r="E240" s="41"/>
      <c r="F240" s="41"/>
      <c r="G240" s="41"/>
    </row>
    <row r="241" spans="5:7" s="39" customFormat="1" x14ac:dyDescent="0.3">
      <c r="E241" s="41"/>
      <c r="F241" s="41"/>
      <c r="G241" s="41"/>
    </row>
    <row r="242" spans="5:7" s="39" customFormat="1" x14ac:dyDescent="0.3">
      <c r="E242" s="41"/>
      <c r="F242" s="41"/>
      <c r="G242" s="41"/>
    </row>
    <row r="243" spans="5:7" s="39" customFormat="1" x14ac:dyDescent="0.3">
      <c r="E243" s="41"/>
      <c r="F243" s="41"/>
      <c r="G243" s="41"/>
    </row>
    <row r="244" spans="5:7" s="39" customFormat="1" x14ac:dyDescent="0.3">
      <c r="E244" s="41"/>
      <c r="F244" s="41"/>
      <c r="G244" s="41"/>
    </row>
    <row r="245" spans="5:7" s="39" customFormat="1" x14ac:dyDescent="0.3">
      <c r="E245" s="41"/>
      <c r="F245" s="41"/>
      <c r="G245" s="41"/>
    </row>
    <row r="246" spans="5:7" s="39" customFormat="1" x14ac:dyDescent="0.3">
      <c r="E246" s="41"/>
      <c r="F246" s="41"/>
      <c r="G246" s="41"/>
    </row>
    <row r="247" spans="5:7" s="39" customFormat="1" x14ac:dyDescent="0.3">
      <c r="E247" s="41"/>
      <c r="F247" s="41"/>
      <c r="G247" s="41"/>
    </row>
    <row r="248" spans="5:7" s="39" customFormat="1" x14ac:dyDescent="0.3">
      <c r="E248" s="41"/>
      <c r="F248" s="41"/>
      <c r="G248" s="41"/>
    </row>
    <row r="249" spans="5:7" s="39" customFormat="1" x14ac:dyDescent="0.3">
      <c r="E249" s="41"/>
      <c r="F249" s="41"/>
      <c r="G249" s="41"/>
    </row>
    <row r="250" spans="5:7" s="39" customFormat="1" x14ac:dyDescent="0.3">
      <c r="E250" s="41"/>
      <c r="F250" s="41"/>
      <c r="G250" s="41"/>
    </row>
    <row r="251" spans="5:7" s="39" customFormat="1" x14ac:dyDescent="0.3">
      <c r="E251" s="41"/>
      <c r="F251" s="41"/>
      <c r="G251" s="41"/>
    </row>
    <row r="252" spans="5:7" s="39" customFormat="1" x14ac:dyDescent="0.3">
      <c r="E252" s="41"/>
      <c r="F252" s="41"/>
      <c r="G252" s="41"/>
    </row>
    <row r="253" spans="5:7" s="39" customFormat="1" x14ac:dyDescent="0.3">
      <c r="E253" s="41"/>
      <c r="F253" s="41"/>
      <c r="G253" s="41"/>
    </row>
    <row r="254" spans="5:7" s="39" customFormat="1" x14ac:dyDescent="0.3">
      <c r="E254" s="41"/>
      <c r="F254" s="41"/>
      <c r="G254" s="41"/>
    </row>
    <row r="255" spans="5:7" s="39" customFormat="1" x14ac:dyDescent="0.3">
      <c r="E255" s="41"/>
      <c r="F255" s="41"/>
      <c r="G255" s="41"/>
    </row>
    <row r="256" spans="5:7" s="39" customFormat="1" x14ac:dyDescent="0.3">
      <c r="E256" s="41"/>
      <c r="F256" s="41"/>
      <c r="G256" s="41"/>
    </row>
    <row r="257" spans="5:7" s="39" customFormat="1" x14ac:dyDescent="0.3">
      <c r="E257" s="41"/>
      <c r="F257" s="41"/>
      <c r="G257" s="41"/>
    </row>
    <row r="258" spans="5:7" s="39" customFormat="1" x14ac:dyDescent="0.3">
      <c r="E258" s="41"/>
      <c r="F258" s="41"/>
      <c r="G258" s="41"/>
    </row>
    <row r="259" spans="5:7" s="39" customFormat="1" x14ac:dyDescent="0.3">
      <c r="E259" s="41"/>
      <c r="F259" s="41"/>
      <c r="G259" s="41"/>
    </row>
    <row r="260" spans="5:7" s="39" customFormat="1" x14ac:dyDescent="0.3">
      <c r="E260" s="41"/>
      <c r="F260" s="41"/>
      <c r="G260" s="41"/>
    </row>
    <row r="261" spans="5:7" s="39" customFormat="1" x14ac:dyDescent="0.3">
      <c r="E261" s="41"/>
      <c r="F261" s="41"/>
      <c r="G261" s="41"/>
    </row>
    <row r="262" spans="5:7" s="39" customFormat="1" x14ac:dyDescent="0.3">
      <c r="E262" s="41"/>
      <c r="F262" s="41"/>
      <c r="G262" s="41"/>
    </row>
    <row r="263" spans="5:7" s="39" customFormat="1" x14ac:dyDescent="0.3">
      <c r="E263" s="41"/>
      <c r="F263" s="41"/>
      <c r="G263" s="41"/>
    </row>
    <row r="264" spans="5:7" s="39" customFormat="1" x14ac:dyDescent="0.3">
      <c r="E264" s="41"/>
      <c r="F264" s="41"/>
      <c r="G264" s="41"/>
    </row>
    <row r="265" spans="5:7" s="39" customFormat="1" x14ac:dyDescent="0.3">
      <c r="E265" s="41"/>
      <c r="F265" s="41"/>
      <c r="G265" s="41"/>
    </row>
    <row r="266" spans="5:7" s="39" customFormat="1" x14ac:dyDescent="0.3">
      <c r="E266" s="41"/>
      <c r="F266" s="41"/>
      <c r="G266" s="41"/>
    </row>
    <row r="267" spans="5:7" s="39" customFormat="1" x14ac:dyDescent="0.3">
      <c r="E267" s="41"/>
      <c r="F267" s="41"/>
      <c r="G267" s="41"/>
    </row>
    <row r="268" spans="5:7" s="39" customFormat="1" x14ac:dyDescent="0.3">
      <c r="E268" s="41"/>
      <c r="F268" s="41"/>
      <c r="G268" s="41"/>
    </row>
    <row r="269" spans="5:7" s="39" customFormat="1" x14ac:dyDescent="0.3">
      <c r="E269" s="41"/>
      <c r="F269" s="41"/>
      <c r="G269" s="41"/>
    </row>
    <row r="270" spans="5:7" s="39" customFormat="1" x14ac:dyDescent="0.3">
      <c r="E270" s="41"/>
      <c r="F270" s="41"/>
      <c r="G270" s="41"/>
    </row>
    <row r="271" spans="5:7" s="39" customFormat="1" x14ac:dyDescent="0.3">
      <c r="E271" s="41"/>
      <c r="F271" s="41"/>
      <c r="G271" s="41"/>
    </row>
    <row r="272" spans="5:7" s="39" customFormat="1" x14ac:dyDescent="0.3">
      <c r="E272" s="41"/>
      <c r="F272" s="41"/>
      <c r="G272" s="41"/>
    </row>
    <row r="273" spans="5:7" s="39" customFormat="1" x14ac:dyDescent="0.3">
      <c r="E273" s="41"/>
      <c r="F273" s="41"/>
      <c r="G273" s="41"/>
    </row>
    <row r="274" spans="5:7" s="39" customFormat="1" x14ac:dyDescent="0.3">
      <c r="E274" s="41"/>
      <c r="F274" s="41"/>
      <c r="G274" s="41"/>
    </row>
    <row r="275" spans="5:7" s="39" customFormat="1" x14ac:dyDescent="0.3">
      <c r="E275" s="41"/>
      <c r="F275" s="41"/>
      <c r="G275" s="41"/>
    </row>
    <row r="276" spans="5:7" s="39" customFormat="1" x14ac:dyDescent="0.3">
      <c r="E276" s="41"/>
      <c r="F276" s="41"/>
      <c r="G276" s="41"/>
    </row>
    <row r="277" spans="5:7" s="39" customFormat="1" x14ac:dyDescent="0.3">
      <c r="E277" s="41"/>
      <c r="F277" s="41"/>
      <c r="G277" s="41"/>
    </row>
    <row r="278" spans="5:7" s="39" customFormat="1" x14ac:dyDescent="0.3">
      <c r="E278" s="41"/>
      <c r="F278" s="41"/>
      <c r="G278" s="41"/>
    </row>
    <row r="279" spans="5:7" s="39" customFormat="1" x14ac:dyDescent="0.3">
      <c r="E279" s="41"/>
      <c r="F279" s="41"/>
      <c r="G279" s="41"/>
    </row>
    <row r="280" spans="5:7" s="39" customFormat="1" x14ac:dyDescent="0.3">
      <c r="E280" s="41"/>
      <c r="F280" s="41"/>
      <c r="G280" s="41"/>
    </row>
    <row r="281" spans="5:7" s="39" customFormat="1" x14ac:dyDescent="0.3">
      <c r="E281" s="41"/>
      <c r="F281" s="41"/>
      <c r="G281" s="41"/>
    </row>
    <row r="282" spans="5:7" s="39" customFormat="1" x14ac:dyDescent="0.3">
      <c r="E282" s="41"/>
      <c r="F282" s="41"/>
      <c r="G282" s="41"/>
    </row>
    <row r="283" spans="5:7" s="39" customFormat="1" x14ac:dyDescent="0.3">
      <c r="E283" s="41"/>
      <c r="F283" s="41"/>
      <c r="G283" s="41"/>
    </row>
    <row r="284" spans="5:7" s="39" customFormat="1" x14ac:dyDescent="0.3">
      <c r="E284" s="41"/>
      <c r="F284" s="41"/>
      <c r="G284" s="41"/>
    </row>
    <row r="285" spans="5:7" s="39" customFormat="1" x14ac:dyDescent="0.3">
      <c r="E285" s="41"/>
      <c r="F285" s="41"/>
      <c r="G285" s="41"/>
    </row>
    <row r="286" spans="5:7" s="39" customFormat="1" x14ac:dyDescent="0.3">
      <c r="E286" s="41"/>
      <c r="F286" s="41"/>
      <c r="G286" s="41"/>
    </row>
    <row r="287" spans="5:7" s="39" customFormat="1" x14ac:dyDescent="0.3">
      <c r="E287" s="41"/>
      <c r="F287" s="41"/>
      <c r="G287" s="41"/>
    </row>
    <row r="288" spans="5:7" s="39" customFormat="1" x14ac:dyDescent="0.3">
      <c r="E288" s="41"/>
      <c r="F288" s="41"/>
      <c r="G288" s="41"/>
    </row>
    <row r="289" spans="5:7" s="39" customFormat="1" x14ac:dyDescent="0.3">
      <c r="E289" s="41"/>
      <c r="F289" s="41"/>
      <c r="G289" s="41"/>
    </row>
    <row r="290" spans="5:7" s="39" customFormat="1" x14ac:dyDescent="0.3">
      <c r="E290" s="41"/>
      <c r="F290" s="41"/>
      <c r="G290" s="41"/>
    </row>
    <row r="291" spans="5:7" s="39" customFormat="1" x14ac:dyDescent="0.3">
      <c r="E291" s="41"/>
      <c r="F291" s="41"/>
      <c r="G291" s="41"/>
    </row>
    <row r="292" spans="5:7" s="39" customFormat="1" x14ac:dyDescent="0.3">
      <c r="E292" s="41"/>
      <c r="F292" s="41"/>
      <c r="G292" s="41"/>
    </row>
    <row r="293" spans="5:7" s="39" customFormat="1" x14ac:dyDescent="0.3">
      <c r="E293" s="41"/>
      <c r="F293" s="41"/>
      <c r="G293" s="41"/>
    </row>
    <row r="294" spans="5:7" s="39" customFormat="1" x14ac:dyDescent="0.3">
      <c r="E294" s="41"/>
      <c r="F294" s="41"/>
      <c r="G294" s="41"/>
    </row>
    <row r="295" spans="5:7" s="39" customFormat="1" x14ac:dyDescent="0.3">
      <c r="E295" s="41"/>
      <c r="F295" s="41"/>
      <c r="G295" s="41"/>
    </row>
    <row r="296" spans="5:7" s="39" customFormat="1" x14ac:dyDescent="0.3">
      <c r="E296" s="41"/>
      <c r="F296" s="41"/>
      <c r="G296" s="41"/>
    </row>
    <row r="297" spans="5:7" s="39" customFormat="1" x14ac:dyDescent="0.3">
      <c r="E297" s="41"/>
      <c r="F297" s="41"/>
      <c r="G297" s="41"/>
    </row>
    <row r="298" spans="5:7" s="39" customFormat="1" x14ac:dyDescent="0.3">
      <c r="E298" s="41"/>
      <c r="F298" s="41"/>
      <c r="G298" s="41"/>
    </row>
    <row r="299" spans="5:7" s="39" customFormat="1" x14ac:dyDescent="0.3">
      <c r="E299" s="41"/>
      <c r="F299" s="41"/>
      <c r="G299" s="41"/>
    </row>
    <row r="300" spans="5:7" s="39" customFormat="1" x14ac:dyDescent="0.3">
      <c r="E300" s="41"/>
      <c r="F300" s="41"/>
      <c r="G300" s="41"/>
    </row>
    <row r="301" spans="5:7" s="39" customFormat="1" x14ac:dyDescent="0.3">
      <c r="E301" s="41"/>
      <c r="F301" s="41"/>
      <c r="G301" s="41"/>
    </row>
    <row r="302" spans="5:7" s="39" customFormat="1" x14ac:dyDescent="0.3">
      <c r="E302" s="41"/>
      <c r="F302" s="41"/>
      <c r="G302" s="41"/>
    </row>
    <row r="303" spans="5:7" s="39" customFormat="1" x14ac:dyDescent="0.3">
      <c r="E303" s="41"/>
      <c r="F303" s="41"/>
      <c r="G303" s="41"/>
    </row>
    <row r="304" spans="5:7" s="39" customFormat="1" x14ac:dyDescent="0.3">
      <c r="E304" s="41"/>
      <c r="F304" s="41"/>
      <c r="G304" s="41"/>
    </row>
    <row r="305" spans="5:7" s="39" customFormat="1" x14ac:dyDescent="0.3">
      <c r="E305" s="41"/>
      <c r="F305" s="41"/>
      <c r="G305" s="41"/>
    </row>
    <row r="306" spans="5:7" s="39" customFormat="1" x14ac:dyDescent="0.3">
      <c r="E306" s="41"/>
      <c r="F306" s="41"/>
      <c r="G306" s="41"/>
    </row>
    <row r="307" spans="5:7" s="39" customFormat="1" x14ac:dyDescent="0.3">
      <c r="E307" s="41"/>
      <c r="F307" s="41"/>
      <c r="G307" s="41"/>
    </row>
    <row r="308" spans="5:7" s="39" customFormat="1" x14ac:dyDescent="0.3">
      <c r="E308" s="41"/>
      <c r="F308" s="41"/>
      <c r="G308" s="41"/>
    </row>
    <row r="309" spans="5:7" s="39" customFormat="1" x14ac:dyDescent="0.3">
      <c r="E309" s="41"/>
      <c r="F309" s="41"/>
      <c r="G309" s="41"/>
    </row>
    <row r="310" spans="5:7" s="39" customFormat="1" x14ac:dyDescent="0.3">
      <c r="E310" s="41"/>
      <c r="F310" s="41"/>
      <c r="G310" s="41"/>
    </row>
    <row r="311" spans="5:7" s="39" customFormat="1" x14ac:dyDescent="0.3">
      <c r="E311" s="41"/>
      <c r="F311" s="41"/>
      <c r="G311" s="41"/>
    </row>
    <row r="312" spans="5:7" s="39" customFormat="1" x14ac:dyDescent="0.3">
      <c r="E312" s="41"/>
      <c r="F312" s="41"/>
      <c r="G312" s="41"/>
    </row>
    <row r="313" spans="5:7" s="39" customFormat="1" x14ac:dyDescent="0.3">
      <c r="E313" s="41"/>
      <c r="F313" s="41"/>
      <c r="G313" s="41"/>
    </row>
    <row r="314" spans="5:7" s="39" customFormat="1" x14ac:dyDescent="0.3">
      <c r="E314" s="41"/>
      <c r="F314" s="41"/>
      <c r="G314" s="41"/>
    </row>
    <row r="315" spans="5:7" s="39" customFormat="1" x14ac:dyDescent="0.3">
      <c r="E315" s="41"/>
      <c r="F315" s="41"/>
      <c r="G315" s="41"/>
    </row>
    <row r="316" spans="5:7" s="39" customFormat="1" x14ac:dyDescent="0.3">
      <c r="E316" s="41"/>
      <c r="F316" s="41"/>
      <c r="G316" s="41"/>
    </row>
    <row r="317" spans="5:7" s="39" customFormat="1" x14ac:dyDescent="0.3">
      <c r="E317" s="41"/>
      <c r="F317" s="41"/>
      <c r="G317" s="41"/>
    </row>
    <row r="318" spans="5:7" s="39" customFormat="1" x14ac:dyDescent="0.3">
      <c r="E318" s="41"/>
      <c r="F318" s="41"/>
      <c r="G318" s="41"/>
    </row>
    <row r="319" spans="5:7" s="39" customFormat="1" x14ac:dyDescent="0.3">
      <c r="E319" s="41"/>
      <c r="F319" s="41"/>
      <c r="G319" s="41"/>
    </row>
    <row r="320" spans="5:7" s="39" customFormat="1" x14ac:dyDescent="0.3">
      <c r="E320" s="41"/>
      <c r="F320" s="41"/>
      <c r="G320" s="41"/>
    </row>
    <row r="321" spans="5:7" s="39" customFormat="1" x14ac:dyDescent="0.3">
      <c r="E321" s="41"/>
      <c r="F321" s="41"/>
      <c r="G321" s="41"/>
    </row>
    <row r="322" spans="5:7" s="39" customFormat="1" x14ac:dyDescent="0.3">
      <c r="E322" s="41"/>
      <c r="F322" s="41"/>
      <c r="G322" s="41"/>
    </row>
    <row r="323" spans="5:7" s="39" customFormat="1" x14ac:dyDescent="0.3">
      <c r="E323" s="41"/>
      <c r="F323" s="41"/>
      <c r="G323" s="41"/>
    </row>
    <row r="324" spans="5:7" s="39" customFormat="1" x14ac:dyDescent="0.3">
      <c r="E324" s="41"/>
      <c r="F324" s="41"/>
      <c r="G324" s="41"/>
    </row>
    <row r="325" spans="5:7" s="39" customFormat="1" x14ac:dyDescent="0.3">
      <c r="E325" s="41"/>
      <c r="F325" s="41"/>
      <c r="G325" s="41"/>
    </row>
    <row r="326" spans="5:7" s="39" customFormat="1" x14ac:dyDescent="0.3">
      <c r="E326" s="41"/>
      <c r="F326" s="41"/>
      <c r="G326" s="41"/>
    </row>
    <row r="327" spans="5:7" s="39" customFormat="1" x14ac:dyDescent="0.3">
      <c r="E327" s="41"/>
      <c r="F327" s="41"/>
      <c r="G327" s="41"/>
    </row>
    <row r="328" spans="5:7" s="39" customFormat="1" x14ac:dyDescent="0.3">
      <c r="E328" s="41"/>
      <c r="F328" s="41"/>
      <c r="G328" s="41"/>
    </row>
    <row r="329" spans="5:7" s="39" customFormat="1" x14ac:dyDescent="0.3">
      <c r="E329" s="41"/>
      <c r="F329" s="41"/>
      <c r="G329" s="41"/>
    </row>
    <row r="330" spans="5:7" s="39" customFormat="1" x14ac:dyDescent="0.3">
      <c r="E330" s="41"/>
      <c r="F330" s="41"/>
      <c r="G330" s="41"/>
    </row>
    <row r="331" spans="5:7" s="39" customFormat="1" x14ac:dyDescent="0.3">
      <c r="E331" s="41"/>
      <c r="F331" s="41"/>
      <c r="G331" s="41"/>
    </row>
    <row r="332" spans="5:7" s="39" customFormat="1" x14ac:dyDescent="0.3">
      <c r="E332" s="41"/>
      <c r="F332" s="41"/>
      <c r="G332" s="41"/>
    </row>
    <row r="333" spans="5:7" s="39" customFormat="1" x14ac:dyDescent="0.3">
      <c r="E333" s="41"/>
      <c r="F333" s="41"/>
      <c r="G333" s="41"/>
    </row>
    <row r="334" spans="5:7" s="39" customFormat="1" x14ac:dyDescent="0.3">
      <c r="E334" s="41"/>
      <c r="F334" s="41"/>
      <c r="G334" s="41"/>
    </row>
    <row r="335" spans="5:7" s="39" customFormat="1" x14ac:dyDescent="0.3">
      <c r="E335" s="41"/>
      <c r="F335" s="41"/>
      <c r="G335" s="41"/>
    </row>
    <row r="336" spans="5:7" s="39" customFormat="1" x14ac:dyDescent="0.3">
      <c r="E336" s="41"/>
      <c r="F336" s="41"/>
      <c r="G336" s="41"/>
    </row>
    <row r="337" spans="5:7" s="39" customFormat="1" x14ac:dyDescent="0.3">
      <c r="E337" s="41"/>
      <c r="F337" s="41"/>
      <c r="G337" s="41"/>
    </row>
    <row r="338" spans="5:7" s="39" customFormat="1" x14ac:dyDescent="0.3">
      <c r="E338" s="41"/>
      <c r="F338" s="41"/>
      <c r="G338" s="41"/>
    </row>
    <row r="339" spans="5:7" s="39" customFormat="1" x14ac:dyDescent="0.3">
      <c r="E339" s="41"/>
      <c r="F339" s="41"/>
      <c r="G339" s="41"/>
    </row>
    <row r="340" spans="5:7" s="39" customFormat="1" x14ac:dyDescent="0.3">
      <c r="E340" s="41"/>
      <c r="F340" s="41"/>
      <c r="G340" s="41"/>
    </row>
    <row r="341" spans="5:7" s="39" customFormat="1" x14ac:dyDescent="0.3">
      <c r="E341" s="41"/>
      <c r="F341" s="41"/>
      <c r="G341" s="41"/>
    </row>
    <row r="342" spans="5:7" s="39" customFormat="1" x14ac:dyDescent="0.3">
      <c r="E342" s="41"/>
      <c r="F342" s="41"/>
      <c r="G342" s="41"/>
    </row>
    <row r="343" spans="5:7" s="39" customFormat="1" x14ac:dyDescent="0.3">
      <c r="E343" s="41"/>
      <c r="F343" s="41"/>
      <c r="G343" s="41"/>
    </row>
    <row r="344" spans="5:7" s="39" customFormat="1" x14ac:dyDescent="0.3">
      <c r="E344" s="41"/>
      <c r="F344" s="41"/>
      <c r="G344" s="41"/>
    </row>
    <row r="345" spans="5:7" s="39" customFormat="1" x14ac:dyDescent="0.3">
      <c r="E345" s="41"/>
      <c r="F345" s="41"/>
      <c r="G345" s="41"/>
    </row>
    <row r="346" spans="5:7" s="39" customFormat="1" x14ac:dyDescent="0.3">
      <c r="E346" s="41"/>
      <c r="F346" s="41"/>
      <c r="G346" s="41"/>
    </row>
    <row r="347" spans="5:7" s="39" customFormat="1" x14ac:dyDescent="0.3">
      <c r="E347" s="41"/>
      <c r="F347" s="41"/>
      <c r="G347" s="41"/>
    </row>
    <row r="348" spans="5:7" s="39" customFormat="1" x14ac:dyDescent="0.3">
      <c r="E348" s="41"/>
      <c r="F348" s="41"/>
      <c r="G348" s="41"/>
    </row>
    <row r="349" spans="5:7" s="39" customFormat="1" x14ac:dyDescent="0.3">
      <c r="E349" s="41"/>
      <c r="F349" s="41"/>
      <c r="G349" s="41"/>
    </row>
    <row r="350" spans="5:7" s="39" customFormat="1" x14ac:dyDescent="0.3">
      <c r="E350" s="41"/>
      <c r="F350" s="41"/>
      <c r="G350" s="41"/>
    </row>
    <row r="351" spans="5:7" s="39" customFormat="1" x14ac:dyDescent="0.3">
      <c r="E351" s="41"/>
      <c r="F351" s="41"/>
      <c r="G351" s="41"/>
    </row>
    <row r="352" spans="5:7" s="39" customFormat="1" x14ac:dyDescent="0.3">
      <c r="E352" s="41"/>
      <c r="F352" s="41"/>
      <c r="G352" s="41"/>
    </row>
    <row r="353" spans="5:7" s="39" customFormat="1" x14ac:dyDescent="0.3">
      <c r="E353" s="41"/>
      <c r="F353" s="41"/>
      <c r="G353" s="41"/>
    </row>
    <row r="354" spans="5:7" s="39" customFormat="1" x14ac:dyDescent="0.3">
      <c r="E354" s="41"/>
      <c r="F354" s="41"/>
      <c r="G354" s="41"/>
    </row>
    <row r="355" spans="5:7" s="39" customFormat="1" x14ac:dyDescent="0.3">
      <c r="E355" s="41"/>
      <c r="F355" s="41"/>
      <c r="G355" s="41"/>
    </row>
    <row r="356" spans="5:7" s="39" customFormat="1" x14ac:dyDescent="0.3">
      <c r="E356" s="41"/>
      <c r="F356" s="41"/>
      <c r="G356" s="41"/>
    </row>
    <row r="357" spans="5:7" s="39" customFormat="1" x14ac:dyDescent="0.3">
      <c r="E357" s="41"/>
      <c r="F357" s="41"/>
      <c r="G357" s="41"/>
    </row>
    <row r="358" spans="5:7" s="39" customFormat="1" x14ac:dyDescent="0.3">
      <c r="E358" s="41"/>
      <c r="F358" s="41"/>
      <c r="G358" s="41"/>
    </row>
    <row r="359" spans="5:7" s="39" customFormat="1" x14ac:dyDescent="0.3">
      <c r="E359" s="41"/>
      <c r="F359" s="41"/>
      <c r="G359" s="41"/>
    </row>
    <row r="360" spans="5:7" s="39" customFormat="1" x14ac:dyDescent="0.3">
      <c r="E360" s="41"/>
      <c r="F360" s="41"/>
      <c r="G360" s="41"/>
    </row>
    <row r="361" spans="5:7" s="39" customFormat="1" x14ac:dyDescent="0.3">
      <c r="E361" s="41"/>
      <c r="F361" s="41"/>
      <c r="G361" s="41"/>
    </row>
    <row r="362" spans="5:7" s="39" customFormat="1" x14ac:dyDescent="0.3">
      <c r="E362" s="41"/>
      <c r="F362" s="41"/>
      <c r="G362" s="41"/>
    </row>
    <row r="363" spans="5:7" s="39" customFormat="1" x14ac:dyDescent="0.3">
      <c r="E363" s="41"/>
      <c r="F363" s="41"/>
      <c r="G363" s="41"/>
    </row>
    <row r="364" spans="5:7" s="39" customFormat="1" x14ac:dyDescent="0.3">
      <c r="E364" s="41"/>
      <c r="F364" s="41"/>
      <c r="G364" s="41"/>
    </row>
    <row r="365" spans="5:7" s="39" customFormat="1" x14ac:dyDescent="0.3">
      <c r="E365" s="41"/>
      <c r="F365" s="41"/>
      <c r="G365" s="41"/>
    </row>
    <row r="366" spans="5:7" s="39" customFormat="1" x14ac:dyDescent="0.3">
      <c r="E366" s="41"/>
      <c r="F366" s="41"/>
      <c r="G366" s="41"/>
    </row>
    <row r="367" spans="5:7" s="39" customFormat="1" x14ac:dyDescent="0.3">
      <c r="E367" s="41"/>
      <c r="F367" s="41"/>
      <c r="G367" s="41"/>
    </row>
    <row r="368" spans="5:7" s="39" customFormat="1" x14ac:dyDescent="0.3">
      <c r="E368" s="41"/>
      <c r="F368" s="41"/>
      <c r="G368" s="41"/>
    </row>
    <row r="369" spans="5:7" s="39" customFormat="1" x14ac:dyDescent="0.3">
      <c r="E369" s="41"/>
      <c r="F369" s="41"/>
      <c r="G369" s="41"/>
    </row>
    <row r="370" spans="5:7" s="39" customFormat="1" x14ac:dyDescent="0.3">
      <c r="E370" s="41"/>
      <c r="F370" s="41"/>
      <c r="G370" s="41"/>
    </row>
    <row r="371" spans="5:7" s="39" customFormat="1" x14ac:dyDescent="0.3">
      <c r="E371" s="41"/>
      <c r="F371" s="41"/>
      <c r="G371" s="41"/>
    </row>
    <row r="372" spans="5:7" s="39" customFormat="1" x14ac:dyDescent="0.3">
      <c r="E372" s="41"/>
      <c r="F372" s="41"/>
      <c r="G372" s="41"/>
    </row>
    <row r="373" spans="5:7" s="39" customFormat="1" x14ac:dyDescent="0.3">
      <c r="E373" s="41"/>
      <c r="F373" s="41"/>
      <c r="G373" s="41"/>
    </row>
    <row r="374" spans="5:7" s="39" customFormat="1" x14ac:dyDescent="0.3">
      <c r="E374" s="41"/>
      <c r="F374" s="41"/>
      <c r="G374" s="41"/>
    </row>
    <row r="375" spans="5:7" s="39" customFormat="1" x14ac:dyDescent="0.3">
      <c r="E375" s="41"/>
      <c r="F375" s="41"/>
      <c r="G375" s="41"/>
    </row>
    <row r="376" spans="5:7" s="39" customFormat="1" x14ac:dyDescent="0.3">
      <c r="E376" s="41"/>
      <c r="F376" s="41"/>
      <c r="G376" s="41"/>
    </row>
    <row r="377" spans="5:7" s="39" customFormat="1" x14ac:dyDescent="0.3">
      <c r="E377" s="41"/>
      <c r="F377" s="41"/>
      <c r="G377" s="41"/>
    </row>
    <row r="378" spans="5:7" s="39" customFormat="1" x14ac:dyDescent="0.3">
      <c r="E378" s="41"/>
      <c r="F378" s="41"/>
      <c r="G378" s="41"/>
    </row>
    <row r="379" spans="5:7" s="39" customFormat="1" x14ac:dyDescent="0.3">
      <c r="E379" s="41"/>
      <c r="F379" s="41"/>
      <c r="G379" s="41"/>
    </row>
    <row r="380" spans="5:7" s="39" customFormat="1" x14ac:dyDescent="0.3">
      <c r="E380" s="41"/>
      <c r="F380" s="41"/>
      <c r="G380" s="41"/>
    </row>
    <row r="381" spans="5:7" s="39" customFormat="1" x14ac:dyDescent="0.3">
      <c r="E381" s="41"/>
      <c r="F381" s="41"/>
      <c r="G381" s="41"/>
    </row>
    <row r="382" spans="5:7" s="39" customFormat="1" x14ac:dyDescent="0.3">
      <c r="E382" s="41"/>
      <c r="F382" s="41"/>
      <c r="G382" s="41"/>
    </row>
    <row r="383" spans="5:7" s="39" customFormat="1" x14ac:dyDescent="0.3">
      <c r="E383" s="41"/>
      <c r="F383" s="41"/>
      <c r="G383" s="41"/>
    </row>
    <row r="384" spans="5:7" s="39" customFormat="1" x14ac:dyDescent="0.3">
      <c r="E384" s="41"/>
      <c r="F384" s="41"/>
      <c r="G384" s="41"/>
    </row>
    <row r="385" spans="5:7" s="39" customFormat="1" x14ac:dyDescent="0.3">
      <c r="E385" s="41"/>
      <c r="F385" s="41"/>
      <c r="G385" s="41"/>
    </row>
    <row r="386" spans="5:7" s="39" customFormat="1" x14ac:dyDescent="0.3">
      <c r="E386" s="41"/>
      <c r="F386" s="41"/>
      <c r="G386" s="41"/>
    </row>
    <row r="387" spans="5:7" s="39" customFormat="1" x14ac:dyDescent="0.3">
      <c r="E387" s="41"/>
      <c r="F387" s="41"/>
      <c r="G387" s="41"/>
    </row>
    <row r="388" spans="5:7" s="39" customFormat="1" x14ac:dyDescent="0.3">
      <c r="E388" s="41"/>
      <c r="F388" s="41"/>
      <c r="G388" s="41"/>
    </row>
    <row r="389" spans="5:7" s="39" customFormat="1" x14ac:dyDescent="0.3">
      <c r="E389" s="41"/>
      <c r="F389" s="41"/>
      <c r="G389" s="41"/>
    </row>
    <row r="390" spans="5:7" s="39" customFormat="1" x14ac:dyDescent="0.3">
      <c r="E390" s="41"/>
      <c r="F390" s="41"/>
      <c r="G390" s="41"/>
    </row>
    <row r="391" spans="5:7" s="39" customFormat="1" x14ac:dyDescent="0.3">
      <c r="E391" s="41"/>
      <c r="F391" s="41"/>
      <c r="G391" s="41"/>
    </row>
    <row r="392" spans="5:7" s="39" customFormat="1" x14ac:dyDescent="0.3">
      <c r="E392" s="41"/>
      <c r="F392" s="41"/>
      <c r="G392" s="41"/>
    </row>
    <row r="393" spans="5:7" s="39" customFormat="1" x14ac:dyDescent="0.3">
      <c r="E393" s="41"/>
      <c r="F393" s="41"/>
      <c r="G393" s="41"/>
    </row>
    <row r="394" spans="5:7" s="39" customFormat="1" x14ac:dyDescent="0.3">
      <c r="E394" s="41"/>
      <c r="F394" s="41"/>
      <c r="G394" s="41"/>
    </row>
    <row r="395" spans="5:7" s="39" customFormat="1" x14ac:dyDescent="0.3">
      <c r="E395" s="41"/>
      <c r="F395" s="41"/>
      <c r="G395" s="41"/>
    </row>
    <row r="396" spans="5:7" s="39" customFormat="1" x14ac:dyDescent="0.3">
      <c r="E396" s="41"/>
      <c r="F396" s="41"/>
      <c r="G396" s="41"/>
    </row>
    <row r="397" spans="5:7" s="39" customFormat="1" x14ac:dyDescent="0.3">
      <c r="E397" s="41"/>
      <c r="F397" s="41"/>
      <c r="G397" s="41"/>
    </row>
    <row r="398" spans="5:7" s="39" customFormat="1" x14ac:dyDescent="0.3">
      <c r="E398" s="41"/>
      <c r="F398" s="41"/>
      <c r="G398" s="41"/>
    </row>
    <row r="399" spans="5:7" s="39" customFormat="1" x14ac:dyDescent="0.3">
      <c r="E399" s="41"/>
      <c r="F399" s="41"/>
      <c r="G399" s="41"/>
    </row>
    <row r="400" spans="5:7" s="39" customFormat="1" x14ac:dyDescent="0.3">
      <c r="E400" s="41"/>
      <c r="F400" s="41"/>
      <c r="G400" s="41"/>
    </row>
    <row r="401" spans="5:7" s="39" customFormat="1" x14ac:dyDescent="0.3">
      <c r="E401" s="41"/>
      <c r="F401" s="41"/>
      <c r="G401" s="41"/>
    </row>
    <row r="402" spans="5:7" s="39" customFormat="1" x14ac:dyDescent="0.3">
      <c r="E402" s="41"/>
      <c r="F402" s="41"/>
      <c r="G402" s="41"/>
    </row>
    <row r="403" spans="5:7" s="39" customFormat="1" x14ac:dyDescent="0.3">
      <c r="E403" s="41"/>
      <c r="F403" s="41"/>
      <c r="G403" s="41"/>
    </row>
    <row r="404" spans="5:7" s="39" customFormat="1" x14ac:dyDescent="0.3">
      <c r="E404" s="41"/>
      <c r="F404" s="41"/>
      <c r="G404" s="41"/>
    </row>
    <row r="405" spans="5:7" s="39" customFormat="1" x14ac:dyDescent="0.3">
      <c r="E405" s="41"/>
      <c r="F405" s="41"/>
      <c r="G405" s="41"/>
    </row>
    <row r="406" spans="5:7" s="39" customFormat="1" x14ac:dyDescent="0.3">
      <c r="E406" s="41"/>
      <c r="F406" s="41"/>
      <c r="G406" s="41"/>
    </row>
    <row r="407" spans="5:7" s="39" customFormat="1" x14ac:dyDescent="0.3">
      <c r="E407" s="41"/>
      <c r="F407" s="41"/>
      <c r="G407" s="41"/>
    </row>
    <row r="408" spans="5:7" s="39" customFormat="1" x14ac:dyDescent="0.3">
      <c r="E408" s="41"/>
      <c r="F408" s="41"/>
      <c r="G408" s="41"/>
    </row>
    <row r="409" spans="5:7" s="39" customFormat="1" x14ac:dyDescent="0.3">
      <c r="E409" s="41"/>
      <c r="F409" s="41"/>
      <c r="G409" s="41"/>
    </row>
    <row r="410" spans="5:7" s="39" customFormat="1" x14ac:dyDescent="0.3">
      <c r="E410" s="41"/>
      <c r="F410" s="41"/>
      <c r="G410" s="41"/>
    </row>
    <row r="411" spans="5:7" s="39" customFormat="1" x14ac:dyDescent="0.3">
      <c r="E411" s="41"/>
      <c r="F411" s="41"/>
      <c r="G411" s="41"/>
    </row>
    <row r="412" spans="5:7" s="39" customFormat="1" x14ac:dyDescent="0.3">
      <c r="E412" s="41"/>
      <c r="F412" s="41"/>
      <c r="G412" s="41"/>
    </row>
    <row r="413" spans="5:7" s="39" customFormat="1" x14ac:dyDescent="0.3">
      <c r="E413" s="41"/>
      <c r="F413" s="41"/>
      <c r="G413" s="41"/>
    </row>
    <row r="414" spans="5:7" s="39" customFormat="1" x14ac:dyDescent="0.3">
      <c r="E414" s="41"/>
      <c r="F414" s="41"/>
      <c r="G414" s="41"/>
    </row>
    <row r="415" spans="5:7" s="39" customFormat="1" x14ac:dyDescent="0.3">
      <c r="E415" s="41"/>
      <c r="F415" s="41"/>
      <c r="G415" s="41"/>
    </row>
    <row r="416" spans="5:7" s="39" customFormat="1" x14ac:dyDescent="0.3">
      <c r="E416" s="41"/>
      <c r="F416" s="41"/>
      <c r="G416" s="41"/>
    </row>
    <row r="417" spans="5:7" s="39" customFormat="1" x14ac:dyDescent="0.3">
      <c r="E417" s="41"/>
      <c r="F417" s="41"/>
      <c r="G417" s="41"/>
    </row>
    <row r="418" spans="5:7" s="39" customFormat="1" x14ac:dyDescent="0.3">
      <c r="E418" s="41"/>
      <c r="F418" s="41"/>
      <c r="G418" s="41"/>
    </row>
    <row r="419" spans="5:7" s="39" customFormat="1" x14ac:dyDescent="0.3">
      <c r="E419" s="41"/>
      <c r="F419" s="41"/>
      <c r="G419" s="41"/>
    </row>
    <row r="420" spans="5:7" s="39" customFormat="1" x14ac:dyDescent="0.3">
      <c r="E420" s="41"/>
      <c r="F420" s="41"/>
      <c r="G420" s="41"/>
    </row>
    <row r="421" spans="5:7" s="39" customFormat="1" x14ac:dyDescent="0.3">
      <c r="E421" s="41"/>
      <c r="F421" s="41"/>
      <c r="G421" s="41"/>
    </row>
    <row r="422" spans="5:7" s="39" customFormat="1" x14ac:dyDescent="0.3">
      <c r="E422" s="41"/>
      <c r="F422" s="41"/>
      <c r="G422" s="41"/>
    </row>
    <row r="423" spans="5:7" s="39" customFormat="1" x14ac:dyDescent="0.3">
      <c r="E423" s="41"/>
      <c r="F423" s="41"/>
      <c r="G423" s="41"/>
    </row>
    <row r="424" spans="5:7" s="39" customFormat="1" x14ac:dyDescent="0.3">
      <c r="E424" s="41"/>
      <c r="F424" s="41"/>
      <c r="G424" s="41"/>
    </row>
    <row r="425" spans="5:7" s="39" customFormat="1" x14ac:dyDescent="0.3">
      <c r="E425" s="41"/>
      <c r="F425" s="41"/>
      <c r="G425" s="41"/>
    </row>
    <row r="426" spans="5:7" s="39" customFormat="1" x14ac:dyDescent="0.3">
      <c r="E426" s="41"/>
      <c r="F426" s="41"/>
      <c r="G426" s="41"/>
    </row>
    <row r="427" spans="5:7" s="39" customFormat="1" x14ac:dyDescent="0.3">
      <c r="E427" s="41"/>
      <c r="F427" s="41"/>
      <c r="G427" s="41"/>
    </row>
    <row r="428" spans="5:7" s="39" customFormat="1" x14ac:dyDescent="0.3">
      <c r="E428" s="41"/>
      <c r="F428" s="41"/>
      <c r="G428" s="41"/>
    </row>
    <row r="429" spans="5:7" s="39" customFormat="1" x14ac:dyDescent="0.3">
      <c r="E429" s="41"/>
      <c r="F429" s="41"/>
      <c r="G429" s="41"/>
    </row>
    <row r="430" spans="5:7" s="39" customFormat="1" x14ac:dyDescent="0.3">
      <c r="E430" s="41"/>
      <c r="F430" s="41"/>
      <c r="G430" s="41"/>
    </row>
    <row r="431" spans="5:7" s="39" customFormat="1" x14ac:dyDescent="0.3">
      <c r="E431" s="41"/>
      <c r="F431" s="41"/>
      <c r="G431" s="41"/>
    </row>
    <row r="432" spans="5:7" s="39" customFormat="1" x14ac:dyDescent="0.3">
      <c r="E432" s="41"/>
      <c r="F432" s="41"/>
      <c r="G432" s="41"/>
    </row>
    <row r="433" spans="5:7" s="39" customFormat="1" x14ac:dyDescent="0.3">
      <c r="E433" s="41"/>
      <c r="F433" s="41"/>
      <c r="G433" s="41"/>
    </row>
    <row r="434" spans="5:7" s="39" customFormat="1" x14ac:dyDescent="0.3">
      <c r="E434" s="41"/>
      <c r="F434" s="41"/>
      <c r="G434" s="41"/>
    </row>
    <row r="435" spans="5:7" s="39" customFormat="1" x14ac:dyDescent="0.3">
      <c r="E435" s="41"/>
      <c r="F435" s="41"/>
      <c r="G435" s="41"/>
    </row>
    <row r="436" spans="5:7" s="39" customFormat="1" x14ac:dyDescent="0.3">
      <c r="E436" s="41"/>
      <c r="F436" s="41"/>
      <c r="G436" s="41"/>
    </row>
    <row r="437" spans="5:7" s="39" customFormat="1" x14ac:dyDescent="0.3">
      <c r="E437" s="41"/>
      <c r="F437" s="41"/>
      <c r="G437" s="41"/>
    </row>
    <row r="438" spans="5:7" s="39" customFormat="1" x14ac:dyDescent="0.3">
      <c r="E438" s="41"/>
      <c r="F438" s="41"/>
      <c r="G438" s="41"/>
    </row>
    <row r="439" spans="5:7" s="39" customFormat="1" x14ac:dyDescent="0.3">
      <c r="E439" s="41"/>
      <c r="F439" s="41"/>
      <c r="G439" s="41"/>
    </row>
    <row r="440" spans="5:7" s="39" customFormat="1" x14ac:dyDescent="0.3">
      <c r="E440" s="41"/>
      <c r="F440" s="41"/>
      <c r="G440" s="41"/>
    </row>
    <row r="441" spans="5:7" s="39" customFormat="1" x14ac:dyDescent="0.3">
      <c r="E441" s="41"/>
      <c r="F441" s="41"/>
      <c r="G441" s="41"/>
    </row>
    <row r="442" spans="5:7" s="39" customFormat="1" x14ac:dyDescent="0.3">
      <c r="E442" s="41"/>
      <c r="F442" s="41"/>
      <c r="G442" s="41"/>
    </row>
    <row r="443" spans="5:7" s="39" customFormat="1" x14ac:dyDescent="0.3">
      <c r="E443" s="41"/>
      <c r="F443" s="41"/>
      <c r="G443" s="41"/>
    </row>
    <row r="444" spans="5:7" s="39" customFormat="1" x14ac:dyDescent="0.3">
      <c r="E444" s="41"/>
      <c r="F444" s="41"/>
      <c r="G444" s="41"/>
    </row>
    <row r="445" spans="5:7" s="39" customFormat="1" x14ac:dyDescent="0.3">
      <c r="E445" s="41"/>
      <c r="F445" s="41"/>
      <c r="G445" s="41"/>
    </row>
    <row r="446" spans="5:7" s="39" customFormat="1" x14ac:dyDescent="0.3">
      <c r="E446" s="41"/>
      <c r="F446" s="41"/>
      <c r="G446" s="41"/>
    </row>
    <row r="447" spans="5:7" s="39" customFormat="1" x14ac:dyDescent="0.3">
      <c r="E447" s="41"/>
      <c r="F447" s="41"/>
      <c r="G447" s="41"/>
    </row>
    <row r="448" spans="5:7" s="39" customFormat="1" x14ac:dyDescent="0.3">
      <c r="E448" s="41"/>
      <c r="F448" s="41"/>
      <c r="G448" s="41"/>
    </row>
    <row r="449" spans="5:7" s="39" customFormat="1" x14ac:dyDescent="0.3">
      <c r="E449" s="41"/>
      <c r="F449" s="41"/>
      <c r="G449" s="41"/>
    </row>
    <row r="450" spans="5:7" s="39" customFormat="1" x14ac:dyDescent="0.3">
      <c r="E450" s="41"/>
      <c r="F450" s="41"/>
      <c r="G450" s="41"/>
    </row>
    <row r="451" spans="5:7" s="39" customFormat="1" x14ac:dyDescent="0.3">
      <c r="E451" s="41"/>
      <c r="F451" s="41"/>
      <c r="G451" s="41"/>
    </row>
    <row r="452" spans="5:7" s="39" customFormat="1" x14ac:dyDescent="0.3">
      <c r="E452" s="41"/>
      <c r="F452" s="41"/>
      <c r="G452" s="41"/>
    </row>
    <row r="453" spans="5:7" s="39" customFormat="1" x14ac:dyDescent="0.3">
      <c r="E453" s="41"/>
      <c r="F453" s="41"/>
      <c r="G453" s="41"/>
    </row>
    <row r="454" spans="5:7" s="39" customFormat="1" x14ac:dyDescent="0.3">
      <c r="E454" s="41"/>
      <c r="F454" s="41"/>
      <c r="G454" s="41"/>
    </row>
    <row r="455" spans="5:7" s="39" customFormat="1" x14ac:dyDescent="0.3">
      <c r="E455" s="41"/>
      <c r="F455" s="41"/>
      <c r="G455" s="41"/>
    </row>
    <row r="456" spans="5:7" s="39" customFormat="1" x14ac:dyDescent="0.3">
      <c r="E456" s="41"/>
      <c r="F456" s="41"/>
      <c r="G456" s="41"/>
    </row>
    <row r="457" spans="5:7" s="39" customFormat="1" x14ac:dyDescent="0.3">
      <c r="E457" s="41"/>
      <c r="F457" s="41"/>
      <c r="G457" s="41"/>
    </row>
    <row r="458" spans="5:7" s="39" customFormat="1" x14ac:dyDescent="0.3">
      <c r="E458" s="41"/>
      <c r="F458" s="41"/>
      <c r="G458" s="41"/>
    </row>
    <row r="459" spans="5:7" s="39" customFormat="1" x14ac:dyDescent="0.3">
      <c r="E459" s="41"/>
      <c r="F459" s="41"/>
      <c r="G459" s="41"/>
    </row>
    <row r="460" spans="5:7" s="39" customFormat="1" x14ac:dyDescent="0.3">
      <c r="E460" s="41"/>
      <c r="F460" s="41"/>
      <c r="G460" s="41"/>
    </row>
    <row r="461" spans="5:7" s="39" customFormat="1" x14ac:dyDescent="0.3">
      <c r="E461" s="41"/>
      <c r="F461" s="41"/>
      <c r="G461" s="41"/>
    </row>
    <row r="462" spans="5:7" s="39" customFormat="1" x14ac:dyDescent="0.3">
      <c r="E462" s="41"/>
      <c r="F462" s="41"/>
      <c r="G462" s="41"/>
    </row>
    <row r="463" spans="5:7" s="39" customFormat="1" x14ac:dyDescent="0.3">
      <c r="E463" s="41"/>
      <c r="F463" s="41"/>
      <c r="G463" s="41"/>
    </row>
    <row r="464" spans="5:7" s="39" customFormat="1" x14ac:dyDescent="0.3">
      <c r="E464" s="41"/>
      <c r="F464" s="41"/>
      <c r="G464" s="41"/>
    </row>
    <row r="465" spans="5:7" s="39" customFormat="1" x14ac:dyDescent="0.3">
      <c r="E465" s="41"/>
      <c r="F465" s="41"/>
      <c r="G465" s="41"/>
    </row>
    <row r="466" spans="5:7" s="39" customFormat="1" x14ac:dyDescent="0.3">
      <c r="E466" s="41"/>
      <c r="F466" s="41"/>
      <c r="G466" s="41"/>
    </row>
    <row r="467" spans="5:7" s="39" customFormat="1" x14ac:dyDescent="0.3">
      <c r="E467" s="41"/>
      <c r="F467" s="41"/>
      <c r="G467" s="41"/>
    </row>
    <row r="468" spans="5:7" s="39" customFormat="1" x14ac:dyDescent="0.3">
      <c r="E468" s="41"/>
      <c r="F468" s="41"/>
      <c r="G468" s="41"/>
    </row>
    <row r="469" spans="5:7" s="39" customFormat="1" x14ac:dyDescent="0.3">
      <c r="E469" s="41"/>
      <c r="F469" s="41"/>
      <c r="G469" s="41"/>
    </row>
    <row r="470" spans="5:7" s="39" customFormat="1" x14ac:dyDescent="0.3">
      <c r="E470" s="41"/>
      <c r="F470" s="41"/>
      <c r="G470" s="41"/>
    </row>
    <row r="471" spans="5:7" s="39" customFormat="1" x14ac:dyDescent="0.3">
      <c r="E471" s="41"/>
      <c r="F471" s="41"/>
      <c r="G471" s="41"/>
    </row>
    <row r="472" spans="5:7" s="39" customFormat="1" x14ac:dyDescent="0.3">
      <c r="E472" s="41"/>
      <c r="F472" s="41"/>
      <c r="G472" s="41"/>
    </row>
    <row r="473" spans="5:7" s="39" customFormat="1" x14ac:dyDescent="0.3">
      <c r="E473" s="41"/>
      <c r="F473" s="41"/>
      <c r="G473" s="41"/>
    </row>
    <row r="474" spans="5:7" s="39" customFormat="1" x14ac:dyDescent="0.3">
      <c r="E474" s="41"/>
      <c r="F474" s="41"/>
      <c r="G474" s="41"/>
    </row>
    <row r="475" spans="5:7" s="39" customFormat="1" x14ac:dyDescent="0.3">
      <c r="E475" s="41"/>
      <c r="F475" s="41"/>
      <c r="G475" s="41"/>
    </row>
    <row r="476" spans="5:7" s="39" customFormat="1" x14ac:dyDescent="0.3">
      <c r="E476" s="41"/>
      <c r="F476" s="41"/>
      <c r="G476" s="41"/>
    </row>
    <row r="477" spans="5:7" s="39" customFormat="1" x14ac:dyDescent="0.3">
      <c r="E477" s="41"/>
      <c r="F477" s="41"/>
      <c r="G477" s="41"/>
    </row>
    <row r="478" spans="5:7" s="39" customFormat="1" x14ac:dyDescent="0.3">
      <c r="E478" s="41"/>
      <c r="F478" s="41"/>
      <c r="G478" s="41"/>
    </row>
    <row r="479" spans="5:7" s="39" customFormat="1" x14ac:dyDescent="0.3">
      <c r="E479" s="41"/>
      <c r="F479" s="41"/>
      <c r="G479" s="41"/>
    </row>
    <row r="480" spans="5:7" s="39" customFormat="1" x14ac:dyDescent="0.3">
      <c r="E480" s="41"/>
      <c r="F480" s="41"/>
      <c r="G480" s="41"/>
    </row>
    <row r="481" spans="5:7" s="39" customFormat="1" x14ac:dyDescent="0.3">
      <c r="E481" s="41"/>
      <c r="F481" s="41"/>
      <c r="G481" s="41"/>
    </row>
    <row r="482" spans="5:7" s="39" customFormat="1" x14ac:dyDescent="0.3">
      <c r="E482" s="41"/>
      <c r="F482" s="41"/>
      <c r="G482" s="41"/>
    </row>
    <row r="483" spans="5:7" s="39" customFormat="1" x14ac:dyDescent="0.3">
      <c r="E483" s="41"/>
      <c r="F483" s="41"/>
      <c r="G483" s="41"/>
    </row>
    <row r="484" spans="5:7" s="39" customFormat="1" x14ac:dyDescent="0.3">
      <c r="E484" s="41"/>
      <c r="F484" s="41"/>
      <c r="G484" s="41"/>
    </row>
    <row r="485" spans="5:7" s="39" customFormat="1" x14ac:dyDescent="0.3">
      <c r="E485" s="41"/>
      <c r="F485" s="41"/>
      <c r="G485" s="41"/>
    </row>
    <row r="486" spans="5:7" s="39" customFormat="1" x14ac:dyDescent="0.3">
      <c r="E486" s="41"/>
      <c r="F486" s="41"/>
      <c r="G486" s="41"/>
    </row>
    <row r="487" spans="5:7" s="39" customFormat="1" x14ac:dyDescent="0.3">
      <c r="E487" s="41"/>
      <c r="F487" s="41"/>
      <c r="G487" s="41"/>
    </row>
    <row r="488" spans="5:7" s="39" customFormat="1" x14ac:dyDescent="0.3">
      <c r="E488" s="41"/>
      <c r="F488" s="41"/>
      <c r="G488" s="41"/>
    </row>
    <row r="489" spans="5:7" s="39" customFormat="1" x14ac:dyDescent="0.3">
      <c r="E489" s="41"/>
      <c r="F489" s="41"/>
      <c r="G489" s="41"/>
    </row>
    <row r="490" spans="5:7" s="39" customFormat="1" x14ac:dyDescent="0.3">
      <c r="E490" s="41"/>
      <c r="F490" s="41"/>
      <c r="G490" s="41"/>
    </row>
    <row r="491" spans="5:7" s="39" customFormat="1" x14ac:dyDescent="0.3">
      <c r="E491" s="41"/>
      <c r="F491" s="41"/>
      <c r="G491" s="41"/>
    </row>
    <row r="492" spans="5:7" s="39" customFormat="1" x14ac:dyDescent="0.3">
      <c r="E492" s="41"/>
      <c r="F492" s="41"/>
      <c r="G492" s="41"/>
    </row>
    <row r="493" spans="5:7" s="39" customFormat="1" x14ac:dyDescent="0.3">
      <c r="E493" s="41"/>
      <c r="F493" s="41"/>
      <c r="G493" s="41"/>
    </row>
    <row r="494" spans="5:7" s="39" customFormat="1" x14ac:dyDescent="0.3">
      <c r="E494" s="41"/>
      <c r="F494" s="41"/>
      <c r="G494" s="41"/>
    </row>
    <row r="495" spans="5:7" s="39" customFormat="1" x14ac:dyDescent="0.3">
      <c r="E495" s="41"/>
      <c r="F495" s="41"/>
      <c r="G495" s="41"/>
    </row>
    <row r="496" spans="5:7" s="39" customFormat="1" x14ac:dyDescent="0.3">
      <c r="E496" s="41"/>
      <c r="F496" s="41"/>
      <c r="G496" s="41"/>
    </row>
    <row r="497" spans="5:7" s="39" customFormat="1" x14ac:dyDescent="0.3">
      <c r="E497" s="41"/>
      <c r="F497" s="41"/>
      <c r="G497" s="41"/>
    </row>
    <row r="498" spans="5:7" s="39" customFormat="1" x14ac:dyDescent="0.3">
      <c r="E498" s="41"/>
      <c r="F498" s="41"/>
      <c r="G498" s="41"/>
    </row>
    <row r="499" spans="5:7" s="39" customFormat="1" x14ac:dyDescent="0.3">
      <c r="E499" s="41"/>
      <c r="F499" s="41"/>
      <c r="G499" s="41"/>
    </row>
    <row r="500" spans="5:7" s="39" customFormat="1" x14ac:dyDescent="0.3">
      <c r="E500" s="41"/>
      <c r="F500" s="41"/>
      <c r="G500" s="41"/>
    </row>
    <row r="501" spans="5:7" s="39" customFormat="1" x14ac:dyDescent="0.3">
      <c r="E501" s="41"/>
      <c r="F501" s="41"/>
      <c r="G501" s="41"/>
    </row>
    <row r="502" spans="5:7" s="39" customFormat="1" x14ac:dyDescent="0.3">
      <c r="E502" s="41"/>
      <c r="F502" s="41"/>
      <c r="G502" s="41"/>
    </row>
    <row r="503" spans="5:7" s="39" customFormat="1" x14ac:dyDescent="0.3">
      <c r="E503" s="41"/>
      <c r="F503" s="41"/>
      <c r="G503" s="41"/>
    </row>
    <row r="504" spans="5:7" s="39" customFormat="1" x14ac:dyDescent="0.3">
      <c r="E504" s="41"/>
      <c r="F504" s="41"/>
      <c r="G504" s="41"/>
    </row>
    <row r="505" spans="5:7" s="39" customFormat="1" x14ac:dyDescent="0.3">
      <c r="E505" s="41"/>
      <c r="F505" s="41"/>
      <c r="G505" s="41"/>
    </row>
    <row r="506" spans="5:7" s="39" customFormat="1" x14ac:dyDescent="0.3">
      <c r="E506" s="41"/>
      <c r="F506" s="41"/>
      <c r="G506" s="41"/>
    </row>
    <row r="507" spans="5:7" s="39" customFormat="1" x14ac:dyDescent="0.3">
      <c r="E507" s="41"/>
      <c r="F507" s="41"/>
      <c r="G507" s="41"/>
    </row>
    <row r="508" spans="5:7" s="39" customFormat="1" x14ac:dyDescent="0.3">
      <c r="E508" s="41"/>
      <c r="F508" s="41"/>
      <c r="G508" s="41"/>
    </row>
    <row r="509" spans="5:7" s="39" customFormat="1" x14ac:dyDescent="0.3">
      <c r="E509" s="41"/>
      <c r="F509" s="41"/>
      <c r="G509" s="41"/>
    </row>
    <row r="510" spans="5:7" s="39" customFormat="1" x14ac:dyDescent="0.3">
      <c r="E510" s="41"/>
      <c r="F510" s="41"/>
      <c r="G510" s="41"/>
    </row>
    <row r="511" spans="5:7" s="39" customFormat="1" x14ac:dyDescent="0.3">
      <c r="E511" s="41"/>
      <c r="F511" s="41"/>
      <c r="G511" s="41"/>
    </row>
    <row r="512" spans="5:7" s="39" customFormat="1" x14ac:dyDescent="0.3">
      <c r="E512" s="41"/>
      <c r="F512" s="41"/>
      <c r="G512" s="41"/>
    </row>
    <row r="513" spans="5:7" s="39" customFormat="1" x14ac:dyDescent="0.3">
      <c r="E513" s="41"/>
      <c r="F513" s="41"/>
      <c r="G513" s="41"/>
    </row>
    <row r="514" spans="5:7" s="39" customFormat="1" x14ac:dyDescent="0.3">
      <c r="E514" s="41"/>
      <c r="F514" s="41"/>
      <c r="G514" s="41"/>
    </row>
    <row r="515" spans="5:7" s="39" customFormat="1" x14ac:dyDescent="0.3">
      <c r="E515" s="41"/>
      <c r="F515" s="41"/>
      <c r="G515" s="41"/>
    </row>
    <row r="516" spans="5:7" s="39" customFormat="1" x14ac:dyDescent="0.3">
      <c r="E516" s="41"/>
      <c r="F516" s="41"/>
      <c r="G516" s="41"/>
    </row>
    <row r="517" spans="5:7" s="39" customFormat="1" x14ac:dyDescent="0.3">
      <c r="E517" s="41"/>
      <c r="F517" s="41"/>
      <c r="G517" s="41"/>
    </row>
    <row r="518" spans="5:7" s="39" customFormat="1" x14ac:dyDescent="0.3">
      <c r="E518" s="41"/>
      <c r="F518" s="41"/>
      <c r="G518" s="41"/>
    </row>
    <row r="519" spans="5:7" s="39" customFormat="1" x14ac:dyDescent="0.3">
      <c r="E519" s="41"/>
      <c r="F519" s="41"/>
      <c r="G519" s="41"/>
    </row>
    <row r="520" spans="5:7" s="39" customFormat="1" x14ac:dyDescent="0.3">
      <c r="E520" s="41"/>
      <c r="F520" s="41"/>
      <c r="G520" s="41"/>
    </row>
    <row r="521" spans="5:7" s="39" customFormat="1" x14ac:dyDescent="0.3">
      <c r="E521" s="41"/>
      <c r="F521" s="41"/>
      <c r="G521" s="41"/>
    </row>
    <row r="522" spans="5:7" s="39" customFormat="1" x14ac:dyDescent="0.3">
      <c r="E522" s="41"/>
      <c r="F522" s="41"/>
      <c r="G522" s="41"/>
    </row>
    <row r="523" spans="5:7" s="39" customFormat="1" x14ac:dyDescent="0.3">
      <c r="E523" s="41"/>
      <c r="F523" s="41"/>
      <c r="G523" s="41"/>
    </row>
    <row r="524" spans="5:7" s="39" customFormat="1" x14ac:dyDescent="0.3">
      <c r="E524" s="41"/>
      <c r="F524" s="41"/>
      <c r="G524" s="41"/>
    </row>
    <row r="525" spans="5:7" s="39" customFormat="1" x14ac:dyDescent="0.3">
      <c r="E525" s="41"/>
      <c r="F525" s="41"/>
      <c r="G525" s="41"/>
    </row>
    <row r="526" spans="5:7" s="39" customFormat="1" x14ac:dyDescent="0.3">
      <c r="E526" s="41"/>
      <c r="F526" s="41"/>
      <c r="G526" s="41"/>
    </row>
    <row r="527" spans="5:7" s="39" customFormat="1" x14ac:dyDescent="0.3">
      <c r="E527" s="41"/>
      <c r="F527" s="41"/>
      <c r="G527" s="41"/>
    </row>
    <row r="528" spans="5:7" s="39" customFormat="1" x14ac:dyDescent="0.3">
      <c r="E528" s="41"/>
      <c r="F528" s="41"/>
      <c r="G528" s="41"/>
    </row>
    <row r="529" spans="5:7" s="39" customFormat="1" x14ac:dyDescent="0.3">
      <c r="E529" s="41"/>
      <c r="F529" s="41"/>
      <c r="G529" s="41"/>
    </row>
    <row r="530" spans="5:7" s="39" customFormat="1" x14ac:dyDescent="0.3">
      <c r="E530" s="41"/>
      <c r="F530" s="41"/>
      <c r="G530" s="41"/>
    </row>
    <row r="531" spans="5:7" s="39" customFormat="1" x14ac:dyDescent="0.3">
      <c r="E531" s="41"/>
      <c r="F531" s="41"/>
      <c r="G531" s="41"/>
    </row>
    <row r="532" spans="5:7" s="39" customFormat="1" x14ac:dyDescent="0.3">
      <c r="E532" s="41"/>
      <c r="F532" s="41"/>
      <c r="G532" s="41"/>
    </row>
    <row r="533" spans="5:7" s="39" customFormat="1" x14ac:dyDescent="0.3">
      <c r="E533" s="41"/>
      <c r="F533" s="41"/>
      <c r="G533" s="41"/>
    </row>
    <row r="534" spans="5:7" s="39" customFormat="1" x14ac:dyDescent="0.3">
      <c r="E534" s="41"/>
      <c r="F534" s="41"/>
      <c r="G534" s="41"/>
    </row>
    <row r="535" spans="5:7" s="39" customFormat="1" x14ac:dyDescent="0.3">
      <c r="E535" s="41"/>
      <c r="F535" s="41"/>
      <c r="G535" s="41"/>
    </row>
    <row r="536" spans="5:7" s="39" customFormat="1" x14ac:dyDescent="0.3">
      <c r="E536" s="41"/>
      <c r="F536" s="41"/>
      <c r="G536" s="41"/>
    </row>
    <row r="537" spans="5:7" s="39" customFormat="1" x14ac:dyDescent="0.3">
      <c r="E537" s="41"/>
      <c r="F537" s="41"/>
      <c r="G537" s="41"/>
    </row>
    <row r="538" spans="5:7" s="39" customFormat="1" x14ac:dyDescent="0.3">
      <c r="E538" s="41"/>
      <c r="F538" s="41"/>
      <c r="G538" s="41"/>
    </row>
    <row r="539" spans="5:7" s="39" customFormat="1" x14ac:dyDescent="0.3">
      <c r="E539" s="41"/>
      <c r="F539" s="41"/>
      <c r="G539" s="41"/>
    </row>
    <row r="540" spans="5:7" s="39" customFormat="1" x14ac:dyDescent="0.3">
      <c r="E540" s="41"/>
      <c r="F540" s="41"/>
      <c r="G540" s="41"/>
    </row>
    <row r="541" spans="5:7" s="39" customFormat="1" x14ac:dyDescent="0.3">
      <c r="E541" s="41"/>
      <c r="F541" s="41"/>
      <c r="G541" s="41"/>
    </row>
    <row r="542" spans="5:7" s="39" customFormat="1" x14ac:dyDescent="0.3">
      <c r="E542" s="41"/>
      <c r="F542" s="41"/>
      <c r="G542" s="41"/>
    </row>
    <row r="543" spans="5:7" s="39" customFormat="1" x14ac:dyDescent="0.3">
      <c r="E543" s="41"/>
      <c r="F543" s="41"/>
      <c r="G543" s="41"/>
    </row>
    <row r="544" spans="5:7" s="39" customFormat="1" x14ac:dyDescent="0.3">
      <c r="E544" s="41"/>
      <c r="F544" s="41"/>
      <c r="G544" s="41"/>
    </row>
    <row r="545" spans="5:7" s="39" customFormat="1" x14ac:dyDescent="0.3">
      <c r="E545" s="41"/>
      <c r="F545" s="41"/>
      <c r="G545" s="41"/>
    </row>
    <row r="546" spans="5:7" s="39" customFormat="1" x14ac:dyDescent="0.3">
      <c r="E546" s="41"/>
      <c r="F546" s="41"/>
      <c r="G546" s="41"/>
    </row>
    <row r="547" spans="5:7" s="39" customFormat="1" x14ac:dyDescent="0.3">
      <c r="E547" s="41"/>
      <c r="F547" s="41"/>
      <c r="G547" s="41"/>
    </row>
    <row r="548" spans="5:7" s="39" customFormat="1" x14ac:dyDescent="0.3">
      <c r="E548" s="41"/>
      <c r="F548" s="41"/>
      <c r="G548" s="41"/>
    </row>
    <row r="549" spans="5:7" s="39" customFormat="1" x14ac:dyDescent="0.3">
      <c r="E549" s="41"/>
      <c r="F549" s="41"/>
      <c r="G549" s="41"/>
    </row>
    <row r="550" spans="5:7" s="39" customFormat="1" x14ac:dyDescent="0.3">
      <c r="E550" s="41"/>
      <c r="F550" s="41"/>
      <c r="G550" s="41"/>
    </row>
    <row r="551" spans="5:7" s="39" customFormat="1" x14ac:dyDescent="0.3">
      <c r="E551" s="41"/>
      <c r="F551" s="41"/>
      <c r="G551" s="41"/>
    </row>
    <row r="552" spans="5:7" s="39" customFormat="1" x14ac:dyDescent="0.3">
      <c r="E552" s="41"/>
      <c r="F552" s="41"/>
      <c r="G552" s="41"/>
    </row>
    <row r="553" spans="5:7" s="39" customFormat="1" x14ac:dyDescent="0.3">
      <c r="E553" s="41"/>
      <c r="F553" s="41"/>
      <c r="G553" s="41"/>
    </row>
    <row r="554" spans="5:7" s="39" customFormat="1" x14ac:dyDescent="0.3">
      <c r="E554" s="41"/>
      <c r="F554" s="41"/>
      <c r="G554" s="41"/>
    </row>
    <row r="555" spans="5:7" s="39" customFormat="1" x14ac:dyDescent="0.3">
      <c r="E555" s="41"/>
      <c r="F555" s="41"/>
      <c r="G555" s="41"/>
    </row>
    <row r="556" spans="5:7" s="39" customFormat="1" x14ac:dyDescent="0.3">
      <c r="E556" s="41"/>
      <c r="F556" s="41"/>
      <c r="G556" s="41"/>
    </row>
    <row r="557" spans="5:7" s="39" customFormat="1" x14ac:dyDescent="0.3">
      <c r="E557" s="41"/>
      <c r="F557" s="41"/>
      <c r="G557" s="41"/>
    </row>
    <row r="558" spans="5:7" s="39" customFormat="1" x14ac:dyDescent="0.3">
      <c r="E558" s="41"/>
      <c r="F558" s="41"/>
      <c r="G558" s="41"/>
    </row>
    <row r="559" spans="5:7" s="39" customFormat="1" x14ac:dyDescent="0.3">
      <c r="E559" s="41"/>
      <c r="F559" s="41"/>
      <c r="G559" s="41"/>
    </row>
    <row r="560" spans="5:7" s="39" customFormat="1" x14ac:dyDescent="0.3">
      <c r="E560" s="41"/>
      <c r="F560" s="41"/>
      <c r="G560" s="41"/>
    </row>
    <row r="561" spans="5:7" s="39" customFormat="1" x14ac:dyDescent="0.3">
      <c r="E561" s="41"/>
      <c r="F561" s="41"/>
      <c r="G561" s="41"/>
    </row>
    <row r="562" spans="5:7" s="39" customFormat="1" x14ac:dyDescent="0.3">
      <c r="E562" s="41"/>
      <c r="F562" s="41"/>
      <c r="G562" s="41"/>
    </row>
    <row r="563" spans="5:7" s="39" customFormat="1" x14ac:dyDescent="0.3">
      <c r="E563" s="41"/>
      <c r="F563" s="41"/>
      <c r="G563" s="41"/>
    </row>
    <row r="564" spans="5:7" s="39" customFormat="1" x14ac:dyDescent="0.3">
      <c r="E564" s="41"/>
      <c r="F564" s="41"/>
      <c r="G564" s="41"/>
    </row>
    <row r="565" spans="5:7" s="39" customFormat="1" x14ac:dyDescent="0.3">
      <c r="E565" s="41"/>
      <c r="F565" s="41"/>
      <c r="G565" s="41"/>
    </row>
    <row r="566" spans="5:7" s="39" customFormat="1" x14ac:dyDescent="0.3">
      <c r="E566" s="41"/>
      <c r="F566" s="41"/>
      <c r="G566" s="41"/>
    </row>
    <row r="567" spans="5:7" s="39" customFormat="1" x14ac:dyDescent="0.3">
      <c r="E567" s="41"/>
      <c r="F567" s="41"/>
      <c r="G567" s="41"/>
    </row>
    <row r="568" spans="5:7" s="39" customFormat="1" x14ac:dyDescent="0.3">
      <c r="E568" s="41"/>
      <c r="F568" s="41"/>
      <c r="G568" s="41"/>
    </row>
    <row r="569" spans="5:7" s="39" customFormat="1" x14ac:dyDescent="0.3">
      <c r="E569" s="41"/>
      <c r="F569" s="41"/>
      <c r="G569" s="41"/>
    </row>
    <row r="570" spans="5:7" s="39" customFormat="1" x14ac:dyDescent="0.3">
      <c r="E570" s="41"/>
      <c r="F570" s="41"/>
      <c r="G570" s="41"/>
    </row>
    <row r="571" spans="5:7" s="39" customFormat="1" x14ac:dyDescent="0.3">
      <c r="E571" s="41"/>
      <c r="F571" s="41"/>
      <c r="G571" s="41"/>
    </row>
    <row r="572" spans="5:7" s="39" customFormat="1" x14ac:dyDescent="0.3">
      <c r="E572" s="41"/>
      <c r="F572" s="41"/>
      <c r="G572" s="41"/>
    </row>
    <row r="573" spans="5:7" s="39" customFormat="1" x14ac:dyDescent="0.3">
      <c r="E573" s="41"/>
      <c r="F573" s="41"/>
      <c r="G573" s="41"/>
    </row>
    <row r="574" spans="5:7" s="39" customFormat="1" x14ac:dyDescent="0.3">
      <c r="E574" s="41"/>
      <c r="F574" s="41"/>
      <c r="G574" s="41"/>
    </row>
    <row r="575" spans="5:7" s="39" customFormat="1" x14ac:dyDescent="0.3">
      <c r="E575" s="41"/>
      <c r="F575" s="41"/>
      <c r="G575" s="41"/>
    </row>
    <row r="576" spans="5:7" s="39" customFormat="1" x14ac:dyDescent="0.3">
      <c r="E576" s="41"/>
      <c r="F576" s="41"/>
      <c r="G576" s="41"/>
    </row>
    <row r="577" spans="5:7" s="39" customFormat="1" x14ac:dyDescent="0.3">
      <c r="E577" s="41"/>
      <c r="F577" s="41"/>
      <c r="G577" s="41"/>
    </row>
    <row r="578" spans="5:7" s="39" customFormat="1" x14ac:dyDescent="0.3">
      <c r="E578" s="41"/>
      <c r="F578" s="41"/>
      <c r="G578" s="41"/>
    </row>
    <row r="579" spans="5:7" s="39" customFormat="1" x14ac:dyDescent="0.3">
      <c r="E579" s="41"/>
      <c r="F579" s="41"/>
      <c r="G579" s="41"/>
    </row>
    <row r="580" spans="5:7" s="39" customFormat="1" x14ac:dyDescent="0.3">
      <c r="E580" s="41"/>
      <c r="F580" s="41"/>
      <c r="G580" s="41"/>
    </row>
    <row r="581" spans="5:7" s="39" customFormat="1" x14ac:dyDescent="0.3">
      <c r="E581" s="41"/>
      <c r="F581" s="41"/>
      <c r="G581" s="41"/>
    </row>
    <row r="582" spans="5:7" s="39" customFormat="1" x14ac:dyDescent="0.3">
      <c r="E582" s="41"/>
      <c r="F582" s="41"/>
      <c r="G582" s="41"/>
    </row>
    <row r="583" spans="5:7" s="39" customFormat="1" x14ac:dyDescent="0.3">
      <c r="E583" s="41"/>
      <c r="F583" s="41"/>
      <c r="G583" s="41"/>
    </row>
    <row r="584" spans="5:7" s="39" customFormat="1" x14ac:dyDescent="0.3">
      <c r="E584" s="41"/>
      <c r="F584" s="41"/>
      <c r="G584" s="41"/>
    </row>
    <row r="585" spans="5:7" s="39" customFormat="1" x14ac:dyDescent="0.3">
      <c r="E585" s="41"/>
      <c r="F585" s="41"/>
      <c r="G585" s="41"/>
    </row>
    <row r="586" spans="5:7" s="39" customFormat="1" x14ac:dyDescent="0.3">
      <c r="E586" s="41"/>
      <c r="F586" s="41"/>
      <c r="G586" s="41"/>
    </row>
    <row r="587" spans="5:7" s="39" customFormat="1" x14ac:dyDescent="0.3">
      <c r="E587" s="41"/>
      <c r="F587" s="41"/>
      <c r="G587" s="41"/>
    </row>
    <row r="588" spans="5:7" s="39" customFormat="1" x14ac:dyDescent="0.3">
      <c r="E588" s="41"/>
      <c r="F588" s="41"/>
      <c r="G588" s="41"/>
    </row>
    <row r="589" spans="5:7" s="39" customFormat="1" x14ac:dyDescent="0.3">
      <c r="E589" s="41"/>
      <c r="F589" s="41"/>
      <c r="G589" s="41"/>
    </row>
    <row r="590" spans="5:7" s="39" customFormat="1" x14ac:dyDescent="0.3">
      <c r="E590" s="41"/>
      <c r="F590" s="41"/>
      <c r="G590" s="41"/>
    </row>
    <row r="591" spans="5:7" s="39" customFormat="1" x14ac:dyDescent="0.3">
      <c r="E591" s="41"/>
      <c r="F591" s="41"/>
      <c r="G591" s="41"/>
    </row>
    <row r="592" spans="5:7" s="39" customFormat="1" x14ac:dyDescent="0.3">
      <c r="E592" s="41"/>
      <c r="F592" s="41"/>
      <c r="G592" s="41"/>
    </row>
    <row r="593" spans="5:7" s="39" customFormat="1" x14ac:dyDescent="0.3">
      <c r="E593" s="41"/>
      <c r="F593" s="41"/>
      <c r="G593" s="41"/>
    </row>
    <row r="594" spans="5:7" s="39" customFormat="1" x14ac:dyDescent="0.3">
      <c r="E594" s="41"/>
      <c r="F594" s="41"/>
      <c r="G594" s="41"/>
    </row>
    <row r="595" spans="5:7" s="39" customFormat="1" x14ac:dyDescent="0.3">
      <c r="E595" s="41"/>
      <c r="F595" s="41"/>
      <c r="G595" s="41"/>
    </row>
    <row r="596" spans="5:7" s="39" customFormat="1" x14ac:dyDescent="0.3">
      <c r="E596" s="41"/>
      <c r="F596" s="41"/>
      <c r="G596" s="41"/>
    </row>
    <row r="597" spans="5:7" s="39" customFormat="1" x14ac:dyDescent="0.3">
      <c r="E597" s="41"/>
      <c r="F597" s="41"/>
      <c r="G597" s="41"/>
    </row>
    <row r="598" spans="5:7" s="39" customFormat="1" x14ac:dyDescent="0.3">
      <c r="E598" s="41"/>
      <c r="F598" s="41"/>
      <c r="G598" s="41"/>
    </row>
    <row r="599" spans="5:7" s="39" customFormat="1" x14ac:dyDescent="0.3">
      <c r="E599" s="41"/>
      <c r="F599" s="41"/>
      <c r="G599" s="41"/>
    </row>
    <row r="600" spans="5:7" s="39" customFormat="1" x14ac:dyDescent="0.3">
      <c r="E600" s="41"/>
      <c r="F600" s="41"/>
      <c r="G600" s="41"/>
    </row>
    <row r="601" spans="5:7" s="39" customFormat="1" x14ac:dyDescent="0.3">
      <c r="E601" s="41"/>
      <c r="F601" s="41"/>
      <c r="G601" s="41"/>
    </row>
    <row r="602" spans="5:7" s="39" customFormat="1" x14ac:dyDescent="0.3">
      <c r="E602" s="41"/>
      <c r="F602" s="41"/>
      <c r="G602" s="41"/>
    </row>
    <row r="603" spans="5:7" s="39" customFormat="1" x14ac:dyDescent="0.3">
      <c r="E603" s="41"/>
      <c r="F603" s="41"/>
      <c r="G603" s="41"/>
    </row>
    <row r="604" spans="5:7" s="39" customFormat="1" x14ac:dyDescent="0.3">
      <c r="E604" s="41"/>
      <c r="F604" s="41"/>
      <c r="G604" s="41"/>
    </row>
    <row r="605" spans="5:7" s="39" customFormat="1" x14ac:dyDescent="0.3">
      <c r="E605" s="41"/>
      <c r="F605" s="41"/>
      <c r="G605" s="41"/>
    </row>
    <row r="606" spans="5:7" s="39" customFormat="1" x14ac:dyDescent="0.3">
      <c r="E606" s="41"/>
      <c r="F606" s="41"/>
      <c r="G606" s="41"/>
    </row>
    <row r="607" spans="5:7" s="39" customFormat="1" x14ac:dyDescent="0.3">
      <c r="E607" s="41"/>
      <c r="F607" s="41"/>
      <c r="G607" s="41"/>
    </row>
    <row r="608" spans="5:7" s="39" customFormat="1" x14ac:dyDescent="0.3">
      <c r="E608" s="41"/>
      <c r="F608" s="41"/>
      <c r="G608" s="41"/>
    </row>
    <row r="609" spans="5:7" s="39" customFormat="1" x14ac:dyDescent="0.3">
      <c r="E609" s="41"/>
      <c r="F609" s="41"/>
      <c r="G609" s="41"/>
    </row>
    <row r="610" spans="5:7" s="39" customFormat="1" x14ac:dyDescent="0.3">
      <c r="E610" s="41"/>
      <c r="F610" s="41"/>
      <c r="G610" s="41"/>
    </row>
    <row r="611" spans="5:7" s="39" customFormat="1" x14ac:dyDescent="0.3">
      <c r="E611" s="41"/>
      <c r="F611" s="41"/>
      <c r="G611" s="41"/>
    </row>
    <row r="612" spans="5:7" s="39" customFormat="1" x14ac:dyDescent="0.3">
      <c r="E612" s="41"/>
      <c r="F612" s="41"/>
      <c r="G612" s="41"/>
    </row>
    <row r="613" spans="5:7" s="39" customFormat="1" x14ac:dyDescent="0.3">
      <c r="E613" s="41"/>
      <c r="F613" s="41"/>
      <c r="G613" s="41"/>
    </row>
    <row r="614" spans="5:7" s="39" customFormat="1" x14ac:dyDescent="0.3">
      <c r="E614" s="41"/>
      <c r="F614" s="41"/>
      <c r="G614" s="41"/>
    </row>
    <row r="615" spans="5:7" s="39" customFormat="1" x14ac:dyDescent="0.3">
      <c r="E615" s="41"/>
      <c r="F615" s="41"/>
      <c r="G615" s="41"/>
    </row>
    <row r="616" spans="5:7" s="39" customFormat="1" x14ac:dyDescent="0.3">
      <c r="E616" s="41"/>
      <c r="F616" s="41"/>
      <c r="G616" s="41"/>
    </row>
    <row r="617" spans="5:7" s="39" customFormat="1" x14ac:dyDescent="0.3">
      <c r="E617" s="41"/>
      <c r="F617" s="41"/>
      <c r="G617" s="41"/>
    </row>
    <row r="618" spans="5:7" s="39" customFormat="1" x14ac:dyDescent="0.3">
      <c r="E618" s="41"/>
      <c r="F618" s="41"/>
      <c r="G618" s="41"/>
    </row>
    <row r="619" spans="5:7" s="39" customFormat="1" x14ac:dyDescent="0.3">
      <c r="E619" s="41"/>
      <c r="F619" s="41"/>
      <c r="G619" s="41"/>
    </row>
    <row r="620" spans="5:7" s="39" customFormat="1" x14ac:dyDescent="0.3">
      <c r="E620" s="41"/>
      <c r="F620" s="41"/>
      <c r="G620" s="41"/>
    </row>
    <row r="621" spans="5:7" s="39" customFormat="1" x14ac:dyDescent="0.3">
      <c r="E621" s="41"/>
      <c r="F621" s="41"/>
      <c r="G621" s="41"/>
    </row>
    <row r="622" spans="5:7" s="39" customFormat="1" x14ac:dyDescent="0.3">
      <c r="E622" s="41"/>
      <c r="F622" s="41"/>
      <c r="G622" s="41"/>
    </row>
    <row r="623" spans="5:7" s="39" customFormat="1" x14ac:dyDescent="0.3">
      <c r="E623" s="41"/>
      <c r="F623" s="41"/>
      <c r="G623" s="41"/>
    </row>
    <row r="624" spans="5:7" s="39" customFormat="1" x14ac:dyDescent="0.3">
      <c r="E624" s="41"/>
      <c r="F624" s="41"/>
      <c r="G624" s="41"/>
    </row>
    <row r="625" spans="5:7" s="39" customFormat="1" x14ac:dyDescent="0.3">
      <c r="E625" s="41"/>
      <c r="F625" s="41"/>
      <c r="G625" s="41"/>
    </row>
    <row r="626" spans="5:7" s="39" customFormat="1" x14ac:dyDescent="0.3">
      <c r="E626" s="41"/>
      <c r="F626" s="41"/>
      <c r="G626" s="41"/>
    </row>
    <row r="627" spans="5:7" s="39" customFormat="1" x14ac:dyDescent="0.3">
      <c r="E627" s="41"/>
      <c r="F627" s="41"/>
      <c r="G627" s="41"/>
    </row>
    <row r="628" spans="5:7" s="39" customFormat="1" x14ac:dyDescent="0.3">
      <c r="E628" s="41"/>
      <c r="F628" s="41"/>
      <c r="G628" s="41"/>
    </row>
    <row r="629" spans="5:7" s="39" customFormat="1" x14ac:dyDescent="0.3">
      <c r="E629" s="41"/>
      <c r="F629" s="41"/>
      <c r="G629" s="41"/>
    </row>
    <row r="630" spans="5:7" s="39" customFormat="1" x14ac:dyDescent="0.3">
      <c r="E630" s="41"/>
      <c r="F630" s="41"/>
      <c r="G630" s="41"/>
    </row>
    <row r="631" spans="5:7" s="39" customFormat="1" x14ac:dyDescent="0.3">
      <c r="E631" s="41"/>
      <c r="F631" s="41"/>
      <c r="G631" s="41"/>
    </row>
    <row r="632" spans="5:7" s="39" customFormat="1" x14ac:dyDescent="0.3">
      <c r="E632" s="41"/>
      <c r="F632" s="41"/>
      <c r="G632" s="41"/>
    </row>
    <row r="633" spans="5:7" s="39" customFormat="1" x14ac:dyDescent="0.3">
      <c r="E633" s="41"/>
      <c r="F633" s="41"/>
      <c r="G633" s="41"/>
    </row>
    <row r="634" spans="5:7" s="39" customFormat="1" x14ac:dyDescent="0.3">
      <c r="E634" s="41"/>
      <c r="F634" s="41"/>
      <c r="G634" s="41"/>
    </row>
    <row r="635" spans="5:7" s="39" customFormat="1" x14ac:dyDescent="0.3">
      <c r="E635" s="41"/>
      <c r="F635" s="41"/>
      <c r="G635" s="41"/>
    </row>
    <row r="636" spans="5:7" s="39" customFormat="1" x14ac:dyDescent="0.3">
      <c r="E636" s="41"/>
      <c r="F636" s="41"/>
      <c r="G636" s="41"/>
    </row>
    <row r="637" spans="5:7" s="39" customFormat="1" x14ac:dyDescent="0.3">
      <c r="E637" s="41"/>
      <c r="F637" s="41"/>
      <c r="G637" s="41"/>
    </row>
    <row r="638" spans="5:7" s="39" customFormat="1" x14ac:dyDescent="0.3">
      <c r="E638" s="41"/>
      <c r="F638" s="41"/>
      <c r="G638" s="41"/>
    </row>
    <row r="639" spans="5:7" s="39" customFormat="1" x14ac:dyDescent="0.3">
      <c r="E639" s="41"/>
      <c r="F639" s="41"/>
      <c r="G639" s="41"/>
    </row>
    <row r="640" spans="5:7" s="39" customFormat="1" x14ac:dyDescent="0.3">
      <c r="E640" s="41"/>
      <c r="F640" s="41"/>
      <c r="G640" s="41"/>
    </row>
    <row r="641" spans="5:7" s="39" customFormat="1" x14ac:dyDescent="0.3">
      <c r="E641" s="41"/>
      <c r="F641" s="41"/>
      <c r="G641" s="41"/>
    </row>
    <row r="642" spans="5:7" s="39" customFormat="1" x14ac:dyDescent="0.3">
      <c r="E642" s="41"/>
      <c r="F642" s="41"/>
      <c r="G642" s="41"/>
    </row>
    <row r="643" spans="5:7" s="39" customFormat="1" x14ac:dyDescent="0.3">
      <c r="E643" s="41"/>
      <c r="F643" s="41"/>
      <c r="G643" s="41"/>
    </row>
    <row r="644" spans="5:7" s="39" customFormat="1" x14ac:dyDescent="0.3">
      <c r="E644" s="41"/>
      <c r="F644" s="41"/>
      <c r="G644" s="41"/>
    </row>
    <row r="645" spans="5:7" s="39" customFormat="1" x14ac:dyDescent="0.3">
      <c r="E645" s="41"/>
      <c r="F645" s="41"/>
      <c r="G645" s="41"/>
    </row>
    <row r="646" spans="5:7" s="39" customFormat="1" x14ac:dyDescent="0.3">
      <c r="E646" s="41"/>
      <c r="F646" s="41"/>
      <c r="G646" s="41"/>
    </row>
    <row r="647" spans="5:7" s="39" customFormat="1" x14ac:dyDescent="0.3">
      <c r="E647" s="41"/>
      <c r="F647" s="41"/>
      <c r="G647" s="41"/>
    </row>
    <row r="648" spans="5:7" s="39" customFormat="1" x14ac:dyDescent="0.3">
      <c r="E648" s="41"/>
      <c r="F648" s="41"/>
      <c r="G648" s="41"/>
    </row>
    <row r="649" spans="5:7" s="39" customFormat="1" x14ac:dyDescent="0.3">
      <c r="E649" s="41"/>
      <c r="F649" s="41"/>
      <c r="G649" s="41"/>
    </row>
    <row r="650" spans="5:7" s="39" customFormat="1" x14ac:dyDescent="0.3">
      <c r="E650" s="41"/>
      <c r="F650" s="41"/>
      <c r="G650" s="41"/>
    </row>
    <row r="651" spans="5:7" s="39" customFormat="1" x14ac:dyDescent="0.3">
      <c r="E651" s="41"/>
      <c r="F651" s="41"/>
      <c r="G651" s="41"/>
    </row>
    <row r="652" spans="5:7" s="39" customFormat="1" x14ac:dyDescent="0.3">
      <c r="E652" s="41"/>
      <c r="F652" s="41"/>
      <c r="G652" s="41"/>
    </row>
    <row r="653" spans="5:7" s="39" customFormat="1" x14ac:dyDescent="0.3">
      <c r="E653" s="41"/>
      <c r="F653" s="41"/>
      <c r="G653" s="41"/>
    </row>
    <row r="654" spans="5:7" s="39" customFormat="1" x14ac:dyDescent="0.3">
      <c r="E654" s="41"/>
      <c r="F654" s="41"/>
      <c r="G654" s="41"/>
    </row>
    <row r="655" spans="5:7" s="39" customFormat="1" x14ac:dyDescent="0.3">
      <c r="E655" s="41"/>
      <c r="F655" s="41"/>
      <c r="G655" s="41"/>
    </row>
    <row r="656" spans="5:7" s="39" customFormat="1" x14ac:dyDescent="0.3">
      <c r="E656" s="41"/>
      <c r="F656" s="41"/>
      <c r="G656" s="41"/>
    </row>
    <row r="657" spans="5:7" s="39" customFormat="1" x14ac:dyDescent="0.3">
      <c r="E657" s="41"/>
      <c r="F657" s="41"/>
      <c r="G657" s="41"/>
    </row>
    <row r="658" spans="5:7" s="39" customFormat="1" x14ac:dyDescent="0.3">
      <c r="E658" s="41"/>
      <c r="F658" s="41"/>
      <c r="G658" s="41"/>
    </row>
    <row r="659" spans="5:7" s="39" customFormat="1" x14ac:dyDescent="0.3">
      <c r="E659" s="41"/>
      <c r="F659" s="41"/>
      <c r="G659" s="41"/>
    </row>
    <row r="660" spans="5:7" s="39" customFormat="1" x14ac:dyDescent="0.3">
      <c r="E660" s="41"/>
      <c r="F660" s="41"/>
      <c r="G660" s="41"/>
    </row>
    <row r="661" spans="5:7" s="39" customFormat="1" x14ac:dyDescent="0.3">
      <c r="E661" s="41"/>
      <c r="F661" s="41"/>
      <c r="G661" s="41"/>
    </row>
    <row r="662" spans="5:7" s="39" customFormat="1" x14ac:dyDescent="0.3">
      <c r="E662" s="41"/>
      <c r="F662" s="41"/>
      <c r="G662" s="41"/>
    </row>
    <row r="663" spans="5:7" s="39" customFormat="1" x14ac:dyDescent="0.3">
      <c r="E663" s="41"/>
      <c r="F663" s="41"/>
      <c r="G663" s="41"/>
    </row>
    <row r="664" spans="5:7" s="39" customFormat="1" x14ac:dyDescent="0.3">
      <c r="E664" s="41"/>
      <c r="F664" s="41"/>
      <c r="G664" s="41"/>
    </row>
    <row r="665" spans="5:7" s="39" customFormat="1" x14ac:dyDescent="0.3">
      <c r="E665" s="41"/>
      <c r="F665" s="41"/>
      <c r="G665" s="41"/>
    </row>
    <row r="666" spans="5:7" s="39" customFormat="1" x14ac:dyDescent="0.3">
      <c r="E666" s="41"/>
      <c r="F666" s="41"/>
      <c r="G666" s="41"/>
    </row>
    <row r="667" spans="5:7" s="39" customFormat="1" x14ac:dyDescent="0.3">
      <c r="E667" s="41"/>
      <c r="F667" s="41"/>
      <c r="G667" s="41"/>
    </row>
    <row r="668" spans="5:7" s="39" customFormat="1" x14ac:dyDescent="0.3">
      <c r="E668" s="41"/>
      <c r="F668" s="41"/>
      <c r="G668" s="41"/>
    </row>
    <row r="669" spans="5:7" s="39" customFormat="1" x14ac:dyDescent="0.3">
      <c r="E669" s="41"/>
      <c r="F669" s="41"/>
      <c r="G669" s="41"/>
    </row>
    <row r="670" spans="5:7" s="39" customFormat="1" x14ac:dyDescent="0.3">
      <c r="E670" s="41"/>
      <c r="F670" s="41"/>
      <c r="G670" s="41"/>
    </row>
    <row r="671" spans="5:7" s="39" customFormat="1" x14ac:dyDescent="0.3">
      <c r="E671" s="41"/>
      <c r="F671" s="41"/>
      <c r="G671" s="41"/>
    </row>
    <row r="672" spans="5:7" s="39" customFormat="1" x14ac:dyDescent="0.3">
      <c r="E672" s="41"/>
      <c r="F672" s="41"/>
      <c r="G672" s="41"/>
    </row>
    <row r="673" spans="5:7" s="39" customFormat="1" x14ac:dyDescent="0.3">
      <c r="E673" s="41"/>
      <c r="F673" s="41"/>
      <c r="G673" s="41"/>
    </row>
    <row r="674" spans="5:7" s="39" customFormat="1" x14ac:dyDescent="0.3">
      <c r="E674" s="41"/>
      <c r="F674" s="41"/>
      <c r="G674" s="41"/>
    </row>
    <row r="675" spans="5:7" s="39" customFormat="1" x14ac:dyDescent="0.3">
      <c r="E675" s="41"/>
      <c r="F675" s="41"/>
      <c r="G675" s="41"/>
    </row>
    <row r="676" spans="5:7" s="39" customFormat="1" x14ac:dyDescent="0.3">
      <c r="E676" s="41"/>
      <c r="F676" s="41"/>
      <c r="G676" s="41"/>
    </row>
    <row r="677" spans="5:7" s="39" customFormat="1" x14ac:dyDescent="0.3">
      <c r="E677" s="41"/>
      <c r="F677" s="41"/>
      <c r="G677" s="41"/>
    </row>
    <row r="678" spans="5:7" s="39" customFormat="1" x14ac:dyDescent="0.3">
      <c r="E678" s="41"/>
      <c r="F678" s="41"/>
      <c r="G678" s="41"/>
    </row>
    <row r="679" spans="5:7" s="39" customFormat="1" x14ac:dyDescent="0.3">
      <c r="E679" s="41"/>
      <c r="F679" s="41"/>
      <c r="G679" s="41"/>
    </row>
    <row r="680" spans="5:7" s="39" customFormat="1" x14ac:dyDescent="0.3">
      <c r="E680" s="41"/>
      <c r="F680" s="41"/>
      <c r="G680" s="41"/>
    </row>
    <row r="681" spans="5:7" s="39" customFormat="1" x14ac:dyDescent="0.3">
      <c r="E681" s="41"/>
      <c r="F681" s="41"/>
      <c r="G681" s="41"/>
    </row>
    <row r="682" spans="5:7" s="39" customFormat="1" x14ac:dyDescent="0.3">
      <c r="E682" s="41"/>
      <c r="F682" s="41"/>
      <c r="G682" s="41"/>
    </row>
    <row r="683" spans="5:7" s="39" customFormat="1" x14ac:dyDescent="0.3">
      <c r="E683" s="41"/>
      <c r="F683" s="41"/>
      <c r="G683" s="41"/>
    </row>
    <row r="684" spans="5:7" s="39" customFormat="1" x14ac:dyDescent="0.3">
      <c r="E684" s="41"/>
      <c r="F684" s="41"/>
      <c r="G684" s="41"/>
    </row>
    <row r="685" spans="5:7" s="39" customFormat="1" x14ac:dyDescent="0.3">
      <c r="E685" s="41"/>
      <c r="F685" s="41"/>
      <c r="G685" s="41"/>
    </row>
    <row r="686" spans="5:7" s="39" customFormat="1" x14ac:dyDescent="0.3">
      <c r="E686" s="41"/>
      <c r="F686" s="41"/>
      <c r="G686" s="41"/>
    </row>
    <row r="687" spans="5:7" s="39" customFormat="1" x14ac:dyDescent="0.3">
      <c r="E687" s="41"/>
      <c r="F687" s="41"/>
      <c r="G687" s="41"/>
    </row>
    <row r="688" spans="5:7" s="39" customFormat="1" x14ac:dyDescent="0.3">
      <c r="E688" s="41"/>
      <c r="F688" s="41"/>
      <c r="G688" s="41"/>
    </row>
    <row r="689" spans="5:7" s="39" customFormat="1" x14ac:dyDescent="0.3">
      <c r="E689" s="41"/>
      <c r="F689" s="41"/>
      <c r="G689" s="41"/>
    </row>
    <row r="690" spans="5:7" s="39" customFormat="1" x14ac:dyDescent="0.3">
      <c r="E690" s="41"/>
      <c r="F690" s="41"/>
      <c r="G690" s="41"/>
    </row>
    <row r="691" spans="5:7" s="39" customFormat="1" x14ac:dyDescent="0.3">
      <c r="E691" s="41"/>
      <c r="F691" s="41"/>
      <c r="G691" s="41"/>
    </row>
    <row r="692" spans="5:7" s="39" customFormat="1" x14ac:dyDescent="0.3">
      <c r="E692" s="41"/>
      <c r="F692" s="41"/>
      <c r="G692" s="41"/>
    </row>
    <row r="693" spans="5:7" s="39" customFormat="1" x14ac:dyDescent="0.3">
      <c r="E693" s="41"/>
      <c r="F693" s="41"/>
      <c r="G693" s="41"/>
    </row>
    <row r="694" spans="5:7" s="39" customFormat="1" x14ac:dyDescent="0.3">
      <c r="E694" s="41"/>
      <c r="F694" s="41"/>
      <c r="G694" s="41"/>
    </row>
    <row r="695" spans="5:7" s="39" customFormat="1" x14ac:dyDescent="0.3">
      <c r="E695" s="41"/>
      <c r="F695" s="41"/>
      <c r="G695" s="41"/>
    </row>
    <row r="696" spans="5:7" s="39" customFormat="1" x14ac:dyDescent="0.3">
      <c r="E696" s="41"/>
      <c r="F696" s="41"/>
      <c r="G696" s="41"/>
    </row>
    <row r="697" spans="5:7" s="39" customFormat="1" x14ac:dyDescent="0.3">
      <c r="E697" s="41"/>
      <c r="F697" s="41"/>
      <c r="G697" s="41"/>
    </row>
    <row r="698" spans="5:7" s="39" customFormat="1" x14ac:dyDescent="0.3">
      <c r="E698" s="41"/>
      <c r="F698" s="41"/>
      <c r="G698" s="41"/>
    </row>
    <row r="699" spans="5:7" s="39" customFormat="1" x14ac:dyDescent="0.3">
      <c r="E699" s="41"/>
      <c r="F699" s="41"/>
      <c r="G699" s="41"/>
    </row>
    <row r="700" spans="5:7" s="39" customFormat="1" x14ac:dyDescent="0.3">
      <c r="E700" s="41"/>
      <c r="F700" s="41"/>
      <c r="G700" s="41"/>
    </row>
    <row r="701" spans="5:7" s="39" customFormat="1" x14ac:dyDescent="0.3">
      <c r="E701" s="41"/>
      <c r="F701" s="41"/>
      <c r="G701" s="41"/>
    </row>
    <row r="702" spans="5:7" s="39" customFormat="1" x14ac:dyDescent="0.3">
      <c r="E702" s="41"/>
      <c r="F702" s="41"/>
      <c r="G702" s="41"/>
    </row>
    <row r="703" spans="5:7" s="39" customFormat="1" x14ac:dyDescent="0.3">
      <c r="E703" s="41"/>
      <c r="F703" s="41"/>
      <c r="G703" s="41"/>
    </row>
    <row r="704" spans="5:7" s="39" customFormat="1" x14ac:dyDescent="0.3">
      <c r="E704" s="41"/>
      <c r="F704" s="41"/>
      <c r="G704" s="41"/>
    </row>
    <row r="705" spans="5:7" s="39" customFormat="1" x14ac:dyDescent="0.3">
      <c r="E705" s="41"/>
      <c r="F705" s="41"/>
      <c r="G705" s="41"/>
    </row>
    <row r="706" spans="5:7" s="39" customFormat="1" x14ac:dyDescent="0.3">
      <c r="E706" s="41"/>
      <c r="F706" s="41"/>
      <c r="G706" s="41"/>
    </row>
    <row r="707" spans="5:7" s="39" customFormat="1" x14ac:dyDescent="0.3">
      <c r="E707" s="41"/>
      <c r="F707" s="41"/>
      <c r="G707" s="41"/>
    </row>
    <row r="708" spans="5:7" s="39" customFormat="1" x14ac:dyDescent="0.3">
      <c r="E708" s="41"/>
      <c r="F708" s="41"/>
      <c r="G708" s="41"/>
    </row>
    <row r="709" spans="5:7" s="39" customFormat="1" x14ac:dyDescent="0.3">
      <c r="E709" s="41"/>
      <c r="F709" s="41"/>
      <c r="G709" s="41"/>
    </row>
    <row r="710" spans="5:7" s="39" customFormat="1" x14ac:dyDescent="0.3">
      <c r="E710" s="41"/>
      <c r="F710" s="41"/>
      <c r="G710" s="41"/>
    </row>
    <row r="711" spans="5:7" s="39" customFormat="1" x14ac:dyDescent="0.3">
      <c r="E711" s="41"/>
      <c r="F711" s="41"/>
      <c r="G711" s="41"/>
    </row>
    <row r="712" spans="5:7" s="39" customFormat="1" x14ac:dyDescent="0.3">
      <c r="E712" s="41"/>
      <c r="F712" s="41"/>
      <c r="G712" s="41"/>
    </row>
    <row r="713" spans="5:7" s="39" customFormat="1" x14ac:dyDescent="0.3">
      <c r="E713" s="41"/>
      <c r="F713" s="41"/>
      <c r="G713" s="41"/>
    </row>
    <row r="714" spans="5:7" s="39" customFormat="1" x14ac:dyDescent="0.3">
      <c r="E714" s="41"/>
      <c r="F714" s="41"/>
      <c r="G714" s="41"/>
    </row>
    <row r="715" spans="5:7" s="39" customFormat="1" x14ac:dyDescent="0.3">
      <c r="E715" s="41"/>
      <c r="F715" s="41"/>
      <c r="G715" s="41"/>
    </row>
    <row r="716" spans="5:7" s="39" customFormat="1" x14ac:dyDescent="0.3">
      <c r="E716" s="41"/>
      <c r="F716" s="41"/>
      <c r="G716" s="41"/>
    </row>
    <row r="717" spans="5:7" s="39" customFormat="1" x14ac:dyDescent="0.3">
      <c r="E717" s="41"/>
      <c r="F717" s="41"/>
      <c r="G717" s="41"/>
    </row>
    <row r="718" spans="5:7" s="39" customFormat="1" x14ac:dyDescent="0.3">
      <c r="E718" s="41"/>
      <c r="F718" s="41"/>
      <c r="G718" s="41"/>
    </row>
    <row r="719" spans="5:7" s="39" customFormat="1" x14ac:dyDescent="0.3">
      <c r="E719" s="41"/>
      <c r="F719" s="41"/>
      <c r="G719" s="41"/>
    </row>
    <row r="720" spans="5:7" s="39" customFormat="1" x14ac:dyDescent="0.3">
      <c r="E720" s="41"/>
      <c r="F720" s="41"/>
      <c r="G720" s="41"/>
    </row>
    <row r="721" spans="5:7" s="39" customFormat="1" x14ac:dyDescent="0.3">
      <c r="E721" s="41"/>
      <c r="F721" s="41"/>
      <c r="G721" s="41"/>
    </row>
    <row r="722" spans="5:7" s="39" customFormat="1" x14ac:dyDescent="0.3">
      <c r="E722" s="41"/>
      <c r="F722" s="41"/>
      <c r="G722" s="41"/>
    </row>
    <row r="723" spans="5:7" s="39" customFormat="1" x14ac:dyDescent="0.3">
      <c r="E723" s="41"/>
      <c r="F723" s="41"/>
      <c r="G723" s="41"/>
    </row>
    <row r="724" spans="5:7" s="39" customFormat="1" x14ac:dyDescent="0.3">
      <c r="E724" s="41"/>
      <c r="F724" s="41"/>
      <c r="G724" s="41"/>
    </row>
    <row r="725" spans="5:7" s="39" customFormat="1" x14ac:dyDescent="0.3">
      <c r="E725" s="41"/>
      <c r="F725" s="41"/>
      <c r="G725" s="41"/>
    </row>
    <row r="726" spans="5:7" s="39" customFormat="1" x14ac:dyDescent="0.3">
      <c r="E726" s="41"/>
      <c r="F726" s="41"/>
      <c r="G726" s="41"/>
    </row>
    <row r="727" spans="5:7" s="39" customFormat="1" x14ac:dyDescent="0.3">
      <c r="E727" s="41"/>
      <c r="F727" s="41"/>
      <c r="G727" s="41"/>
    </row>
    <row r="728" spans="5:7" s="39" customFormat="1" x14ac:dyDescent="0.3">
      <c r="E728" s="41"/>
      <c r="F728" s="41"/>
      <c r="G728" s="41"/>
    </row>
    <row r="729" spans="5:7" s="39" customFormat="1" x14ac:dyDescent="0.3">
      <c r="E729" s="41"/>
      <c r="F729" s="41"/>
      <c r="G729" s="41"/>
    </row>
    <row r="730" spans="5:7" s="39" customFormat="1" x14ac:dyDescent="0.3">
      <c r="E730" s="41"/>
      <c r="F730" s="41"/>
      <c r="G730" s="41"/>
    </row>
    <row r="731" spans="5:7" s="39" customFormat="1" x14ac:dyDescent="0.3">
      <c r="E731" s="41"/>
      <c r="F731" s="41"/>
      <c r="G731" s="41"/>
    </row>
    <row r="732" spans="5:7" s="39" customFormat="1" x14ac:dyDescent="0.3">
      <c r="E732" s="41"/>
      <c r="F732" s="41"/>
      <c r="G732" s="41"/>
    </row>
    <row r="733" spans="5:7" s="39" customFormat="1" x14ac:dyDescent="0.3">
      <c r="E733" s="41"/>
      <c r="F733" s="41"/>
      <c r="G733" s="41"/>
    </row>
    <row r="734" spans="5:7" s="39" customFormat="1" x14ac:dyDescent="0.3">
      <c r="E734" s="41"/>
      <c r="F734" s="41"/>
      <c r="G734" s="41"/>
    </row>
    <row r="735" spans="5:7" s="39" customFormat="1" x14ac:dyDescent="0.3">
      <c r="E735" s="41"/>
      <c r="F735" s="41"/>
      <c r="G735" s="41"/>
    </row>
    <row r="736" spans="5:7" s="39" customFormat="1" x14ac:dyDescent="0.3">
      <c r="E736" s="41"/>
      <c r="F736" s="41"/>
      <c r="G736" s="41"/>
    </row>
    <row r="737" spans="5:7" s="39" customFormat="1" x14ac:dyDescent="0.3">
      <c r="E737" s="41"/>
      <c r="F737" s="41"/>
      <c r="G737" s="41"/>
    </row>
    <row r="738" spans="5:7" s="39" customFormat="1" x14ac:dyDescent="0.3">
      <c r="E738" s="41"/>
      <c r="F738" s="41"/>
      <c r="G738" s="41"/>
    </row>
    <row r="739" spans="5:7" s="39" customFormat="1" x14ac:dyDescent="0.3">
      <c r="E739" s="41"/>
      <c r="F739" s="41"/>
      <c r="G739" s="41"/>
    </row>
    <row r="740" spans="5:7" s="39" customFormat="1" x14ac:dyDescent="0.3">
      <c r="E740" s="41"/>
      <c r="F740" s="41"/>
      <c r="G740" s="41"/>
    </row>
    <row r="741" spans="5:7" s="39" customFormat="1" x14ac:dyDescent="0.3">
      <c r="E741" s="41"/>
      <c r="F741" s="41"/>
      <c r="G741" s="41"/>
    </row>
    <row r="742" spans="5:7" s="39" customFormat="1" x14ac:dyDescent="0.3">
      <c r="E742" s="41"/>
      <c r="F742" s="41"/>
      <c r="G742" s="41"/>
    </row>
    <row r="743" spans="5:7" s="39" customFormat="1" x14ac:dyDescent="0.3">
      <c r="E743" s="41"/>
      <c r="F743" s="41"/>
      <c r="G743" s="41"/>
    </row>
    <row r="744" spans="5:7" s="39" customFormat="1" x14ac:dyDescent="0.3">
      <c r="E744" s="41"/>
      <c r="F744" s="41"/>
      <c r="G744" s="41"/>
    </row>
    <row r="745" spans="5:7" s="39" customFormat="1" x14ac:dyDescent="0.3">
      <c r="E745" s="41"/>
      <c r="F745" s="41"/>
      <c r="G745" s="41"/>
    </row>
    <row r="746" spans="5:7" s="39" customFormat="1" x14ac:dyDescent="0.3">
      <c r="E746" s="41"/>
      <c r="F746" s="41"/>
      <c r="G746" s="41"/>
    </row>
    <row r="747" spans="5:7" s="39" customFormat="1" x14ac:dyDescent="0.3">
      <c r="E747" s="41"/>
      <c r="F747" s="41"/>
      <c r="G747" s="41"/>
    </row>
    <row r="748" spans="5:7" s="39" customFormat="1" x14ac:dyDescent="0.3">
      <c r="E748" s="41"/>
      <c r="F748" s="41"/>
      <c r="G748" s="41"/>
    </row>
    <row r="749" spans="5:7" s="39" customFormat="1" x14ac:dyDescent="0.3">
      <c r="E749" s="41"/>
      <c r="F749" s="41"/>
      <c r="G749" s="41"/>
    </row>
    <row r="750" spans="5:7" s="39" customFormat="1" x14ac:dyDescent="0.3">
      <c r="E750" s="41"/>
      <c r="F750" s="41"/>
      <c r="G750" s="41"/>
    </row>
    <row r="751" spans="5:7" s="39" customFormat="1" x14ac:dyDescent="0.3">
      <c r="E751" s="41"/>
      <c r="F751" s="41"/>
      <c r="G751" s="41"/>
    </row>
    <row r="752" spans="5:7" s="39" customFormat="1" x14ac:dyDescent="0.3">
      <c r="E752" s="41"/>
      <c r="F752" s="41"/>
      <c r="G752" s="41"/>
    </row>
    <row r="753" spans="5:7" s="39" customFormat="1" x14ac:dyDescent="0.3">
      <c r="E753" s="41"/>
      <c r="F753" s="41"/>
      <c r="G753" s="41"/>
    </row>
    <row r="754" spans="5:7" s="39" customFormat="1" x14ac:dyDescent="0.3">
      <c r="E754" s="41"/>
      <c r="F754" s="41"/>
      <c r="G754" s="41"/>
    </row>
    <row r="755" spans="5:7" s="39" customFormat="1" x14ac:dyDescent="0.3">
      <c r="E755" s="41"/>
      <c r="F755" s="41"/>
      <c r="G755" s="41"/>
    </row>
    <row r="756" spans="5:7" s="39" customFormat="1" x14ac:dyDescent="0.3">
      <c r="E756" s="41"/>
      <c r="F756" s="41"/>
      <c r="G756" s="41"/>
    </row>
    <row r="757" spans="5:7" s="39" customFormat="1" x14ac:dyDescent="0.3">
      <c r="E757" s="41"/>
      <c r="F757" s="41"/>
      <c r="G757" s="41"/>
    </row>
    <row r="758" spans="5:7" s="39" customFormat="1" x14ac:dyDescent="0.3">
      <c r="E758" s="41"/>
      <c r="F758" s="41"/>
      <c r="G758" s="41"/>
    </row>
    <row r="759" spans="5:7" s="39" customFormat="1" x14ac:dyDescent="0.3">
      <c r="E759" s="41"/>
      <c r="F759" s="41"/>
      <c r="G759" s="41"/>
    </row>
    <row r="760" spans="5:7" s="39" customFormat="1" x14ac:dyDescent="0.3">
      <c r="E760" s="41"/>
      <c r="F760" s="41"/>
      <c r="G760" s="41"/>
    </row>
    <row r="761" spans="5:7" s="39" customFormat="1" x14ac:dyDescent="0.3">
      <c r="E761" s="41"/>
      <c r="F761" s="41"/>
      <c r="G761" s="41"/>
    </row>
    <row r="762" spans="5:7" s="39" customFormat="1" x14ac:dyDescent="0.3">
      <c r="E762" s="41"/>
      <c r="F762" s="41"/>
      <c r="G762" s="41"/>
    </row>
    <row r="763" spans="5:7" s="39" customFormat="1" x14ac:dyDescent="0.3">
      <c r="E763" s="41"/>
      <c r="F763" s="41"/>
      <c r="G763" s="41"/>
    </row>
    <row r="764" spans="5:7" s="39" customFormat="1" x14ac:dyDescent="0.3">
      <c r="E764" s="41"/>
      <c r="F764" s="41"/>
      <c r="G764" s="41"/>
    </row>
    <row r="765" spans="5:7" s="39" customFormat="1" x14ac:dyDescent="0.3">
      <c r="E765" s="41"/>
      <c r="F765" s="41"/>
      <c r="G765" s="41"/>
    </row>
    <row r="766" spans="5:7" s="39" customFormat="1" x14ac:dyDescent="0.3">
      <c r="E766" s="41"/>
      <c r="F766" s="41"/>
      <c r="G766" s="41"/>
    </row>
    <row r="767" spans="5:7" s="39" customFormat="1" x14ac:dyDescent="0.3">
      <c r="E767" s="41"/>
      <c r="F767" s="41"/>
      <c r="G767" s="41"/>
    </row>
    <row r="768" spans="5:7" s="39" customFormat="1" x14ac:dyDescent="0.3">
      <c r="E768" s="41"/>
      <c r="F768" s="41"/>
      <c r="G768" s="41"/>
    </row>
    <row r="769" spans="5:7" s="39" customFormat="1" x14ac:dyDescent="0.3">
      <c r="E769" s="41"/>
      <c r="F769" s="41"/>
      <c r="G769" s="41"/>
    </row>
    <row r="770" spans="5:7" s="39" customFormat="1" x14ac:dyDescent="0.3">
      <c r="E770" s="41"/>
      <c r="F770" s="41"/>
      <c r="G770" s="41"/>
    </row>
    <row r="771" spans="5:7" s="39" customFormat="1" x14ac:dyDescent="0.3">
      <c r="E771" s="41"/>
      <c r="F771" s="41"/>
      <c r="G771" s="41"/>
    </row>
    <row r="772" spans="5:7" s="39" customFormat="1" x14ac:dyDescent="0.3">
      <c r="E772" s="41"/>
      <c r="F772" s="41"/>
      <c r="G772" s="41"/>
    </row>
    <row r="773" spans="5:7" s="39" customFormat="1" x14ac:dyDescent="0.3">
      <c r="E773" s="41"/>
      <c r="F773" s="41"/>
      <c r="G773" s="41"/>
    </row>
    <row r="774" spans="5:7" s="39" customFormat="1" x14ac:dyDescent="0.3">
      <c r="E774" s="41"/>
      <c r="F774" s="41"/>
      <c r="G774" s="41"/>
    </row>
    <row r="775" spans="5:7" s="39" customFormat="1" x14ac:dyDescent="0.3">
      <c r="E775" s="41"/>
      <c r="F775" s="41"/>
      <c r="G775" s="41"/>
    </row>
    <row r="776" spans="5:7" s="39" customFormat="1" x14ac:dyDescent="0.3">
      <c r="E776" s="41"/>
      <c r="F776" s="41"/>
      <c r="G776" s="41"/>
    </row>
    <row r="777" spans="5:7" s="39" customFormat="1" x14ac:dyDescent="0.3">
      <c r="E777" s="41"/>
      <c r="F777" s="41"/>
      <c r="G777" s="41"/>
    </row>
    <row r="778" spans="5:7" s="39" customFormat="1" x14ac:dyDescent="0.3">
      <c r="E778" s="41"/>
      <c r="F778" s="41"/>
      <c r="G778" s="41"/>
    </row>
    <row r="779" spans="5:7" s="39" customFormat="1" x14ac:dyDescent="0.3">
      <c r="E779" s="41"/>
      <c r="F779" s="41"/>
      <c r="G779" s="41"/>
    </row>
    <row r="780" spans="5:7" s="39" customFormat="1" x14ac:dyDescent="0.3">
      <c r="E780" s="41"/>
      <c r="F780" s="41"/>
      <c r="G780" s="41"/>
    </row>
    <row r="781" spans="5:7" s="39" customFormat="1" x14ac:dyDescent="0.3">
      <c r="E781" s="41"/>
      <c r="F781" s="41"/>
      <c r="G781" s="41"/>
    </row>
    <row r="782" spans="5:7" s="39" customFormat="1" x14ac:dyDescent="0.3">
      <c r="E782" s="41"/>
      <c r="F782" s="41"/>
      <c r="G782" s="41"/>
    </row>
    <row r="783" spans="5:7" s="39" customFormat="1" x14ac:dyDescent="0.3">
      <c r="E783" s="41"/>
      <c r="F783" s="41"/>
      <c r="G783" s="41"/>
    </row>
    <row r="784" spans="5:7" s="39" customFormat="1" x14ac:dyDescent="0.3">
      <c r="E784" s="41"/>
      <c r="F784" s="41"/>
      <c r="G784" s="41"/>
    </row>
    <row r="785" spans="5:7" s="39" customFormat="1" x14ac:dyDescent="0.3">
      <c r="E785" s="41"/>
      <c r="F785" s="41"/>
      <c r="G785" s="41"/>
    </row>
    <row r="786" spans="5:7" s="39" customFormat="1" x14ac:dyDescent="0.3">
      <c r="E786" s="41"/>
      <c r="F786" s="41"/>
      <c r="G786" s="41"/>
    </row>
    <row r="787" spans="5:7" s="39" customFormat="1" x14ac:dyDescent="0.3">
      <c r="E787" s="41"/>
      <c r="F787" s="41"/>
      <c r="G787" s="41"/>
    </row>
    <row r="788" spans="5:7" s="39" customFormat="1" x14ac:dyDescent="0.3">
      <c r="E788" s="41"/>
      <c r="F788" s="41"/>
      <c r="G788" s="41"/>
    </row>
    <row r="789" spans="5:7" s="39" customFormat="1" x14ac:dyDescent="0.3">
      <c r="E789" s="41"/>
      <c r="F789" s="41"/>
      <c r="G789" s="41"/>
    </row>
    <row r="790" spans="5:7" s="39" customFormat="1" x14ac:dyDescent="0.3">
      <c r="E790" s="41"/>
      <c r="F790" s="41"/>
      <c r="G790" s="41"/>
    </row>
    <row r="791" spans="5:7" s="39" customFormat="1" x14ac:dyDescent="0.3">
      <c r="E791" s="41"/>
      <c r="F791" s="41"/>
      <c r="G791" s="41"/>
    </row>
    <row r="792" spans="5:7" s="39" customFormat="1" x14ac:dyDescent="0.3">
      <c r="E792" s="41"/>
      <c r="F792" s="41"/>
      <c r="G792" s="41"/>
    </row>
    <row r="793" spans="5:7" s="39" customFormat="1" x14ac:dyDescent="0.3">
      <c r="E793" s="41"/>
      <c r="F793" s="41"/>
      <c r="G793" s="41"/>
    </row>
    <row r="794" spans="5:7" s="39" customFormat="1" x14ac:dyDescent="0.3">
      <c r="E794" s="41"/>
      <c r="F794" s="41"/>
      <c r="G794" s="41"/>
    </row>
    <row r="795" spans="5:7" s="39" customFormat="1" x14ac:dyDescent="0.3">
      <c r="E795" s="41"/>
      <c r="F795" s="41"/>
      <c r="G795" s="41"/>
    </row>
    <row r="796" spans="5:7" s="39" customFormat="1" x14ac:dyDescent="0.3">
      <c r="E796" s="41"/>
      <c r="F796" s="41"/>
      <c r="G796" s="41"/>
    </row>
    <row r="797" spans="5:7" s="39" customFormat="1" x14ac:dyDescent="0.3">
      <c r="E797" s="41"/>
      <c r="F797" s="41"/>
      <c r="G797" s="41"/>
    </row>
    <row r="798" spans="5:7" s="39" customFormat="1" x14ac:dyDescent="0.3">
      <c r="E798" s="41"/>
      <c r="F798" s="41"/>
      <c r="G798" s="41"/>
    </row>
    <row r="799" spans="5:7" s="39" customFormat="1" x14ac:dyDescent="0.3">
      <c r="E799" s="41"/>
      <c r="F799" s="41"/>
      <c r="G799" s="41"/>
    </row>
    <row r="800" spans="5:7" s="39" customFormat="1" x14ac:dyDescent="0.3">
      <c r="E800" s="41"/>
      <c r="F800" s="41"/>
      <c r="G800" s="41"/>
    </row>
    <row r="801" spans="5:7" s="39" customFormat="1" x14ac:dyDescent="0.3">
      <c r="E801" s="41"/>
      <c r="F801" s="41"/>
      <c r="G801" s="41"/>
    </row>
    <row r="802" spans="5:7" s="39" customFormat="1" x14ac:dyDescent="0.3">
      <c r="E802" s="41"/>
      <c r="F802" s="41"/>
      <c r="G802" s="41"/>
    </row>
    <row r="803" spans="5:7" s="39" customFormat="1" x14ac:dyDescent="0.3">
      <c r="E803" s="41"/>
      <c r="F803" s="41"/>
      <c r="G803" s="41"/>
    </row>
    <row r="804" spans="5:7" s="39" customFormat="1" x14ac:dyDescent="0.3">
      <c r="E804" s="41"/>
      <c r="F804" s="41"/>
      <c r="G804" s="41"/>
    </row>
    <row r="805" spans="5:7" s="39" customFormat="1" x14ac:dyDescent="0.3">
      <c r="E805" s="41"/>
      <c r="F805" s="41"/>
      <c r="G805" s="41"/>
    </row>
    <row r="806" spans="5:7" s="39" customFormat="1" x14ac:dyDescent="0.3">
      <c r="E806" s="41"/>
      <c r="F806" s="41"/>
      <c r="G806" s="41"/>
    </row>
    <row r="807" spans="5:7" s="39" customFormat="1" x14ac:dyDescent="0.3">
      <c r="E807" s="41"/>
      <c r="F807" s="41"/>
      <c r="G807" s="41"/>
    </row>
    <row r="808" spans="5:7" s="39" customFormat="1" x14ac:dyDescent="0.3">
      <c r="E808" s="41"/>
      <c r="F808" s="41"/>
      <c r="G808" s="41"/>
    </row>
    <row r="809" spans="5:7" s="39" customFormat="1" x14ac:dyDescent="0.3">
      <c r="E809" s="41"/>
      <c r="F809" s="41"/>
      <c r="G809" s="41"/>
    </row>
    <row r="810" spans="5:7" s="39" customFormat="1" x14ac:dyDescent="0.3">
      <c r="E810" s="41"/>
      <c r="F810" s="41"/>
      <c r="G810" s="41"/>
    </row>
    <row r="811" spans="5:7" s="39" customFormat="1" x14ac:dyDescent="0.3">
      <c r="E811" s="41"/>
      <c r="F811" s="41"/>
      <c r="G811" s="41"/>
    </row>
    <row r="812" spans="5:7" s="39" customFormat="1" x14ac:dyDescent="0.3">
      <c r="E812" s="41"/>
      <c r="F812" s="41"/>
      <c r="G812" s="41"/>
    </row>
    <row r="813" spans="5:7" s="39" customFormat="1" x14ac:dyDescent="0.3">
      <c r="E813" s="41"/>
      <c r="F813" s="41"/>
      <c r="G813" s="41"/>
    </row>
    <row r="814" spans="5:7" s="39" customFormat="1" x14ac:dyDescent="0.3">
      <c r="E814" s="41"/>
      <c r="F814" s="41"/>
      <c r="G814" s="41"/>
    </row>
    <row r="815" spans="5:7" s="39" customFormat="1" x14ac:dyDescent="0.3">
      <c r="E815" s="41"/>
      <c r="F815" s="41"/>
      <c r="G815" s="41"/>
    </row>
    <row r="816" spans="5:7" s="39" customFormat="1" x14ac:dyDescent="0.3">
      <c r="E816" s="41"/>
      <c r="F816" s="41"/>
      <c r="G816" s="41"/>
    </row>
    <row r="817" spans="5:7" s="39" customFormat="1" x14ac:dyDescent="0.3">
      <c r="E817" s="41"/>
      <c r="F817" s="41"/>
      <c r="G817" s="41"/>
    </row>
    <row r="818" spans="5:7" s="39" customFormat="1" x14ac:dyDescent="0.3">
      <c r="E818" s="41"/>
      <c r="F818" s="41"/>
      <c r="G818" s="41"/>
    </row>
    <row r="819" spans="5:7" s="39" customFormat="1" x14ac:dyDescent="0.3">
      <c r="E819" s="41"/>
      <c r="F819" s="41"/>
      <c r="G819" s="41"/>
    </row>
    <row r="820" spans="5:7" s="39" customFormat="1" x14ac:dyDescent="0.3">
      <c r="E820" s="41"/>
      <c r="F820" s="41"/>
      <c r="G820" s="41"/>
    </row>
    <row r="821" spans="5:7" s="39" customFormat="1" x14ac:dyDescent="0.3">
      <c r="E821" s="41"/>
      <c r="F821" s="41"/>
      <c r="G821" s="41"/>
    </row>
    <row r="822" spans="5:7" s="39" customFormat="1" x14ac:dyDescent="0.3">
      <c r="E822" s="41"/>
      <c r="F822" s="41"/>
      <c r="G822" s="41"/>
    </row>
    <row r="823" spans="5:7" s="39" customFormat="1" x14ac:dyDescent="0.3">
      <c r="E823" s="41"/>
      <c r="F823" s="41"/>
      <c r="G823" s="41"/>
    </row>
    <row r="824" spans="5:7" s="39" customFormat="1" x14ac:dyDescent="0.3">
      <c r="E824" s="41"/>
      <c r="F824" s="41"/>
      <c r="G824" s="41"/>
    </row>
    <row r="825" spans="5:7" s="39" customFormat="1" x14ac:dyDescent="0.3">
      <c r="E825" s="41"/>
      <c r="F825" s="41"/>
      <c r="G825" s="41"/>
    </row>
    <row r="826" spans="5:7" s="39" customFormat="1" x14ac:dyDescent="0.3">
      <c r="E826" s="41"/>
      <c r="F826" s="41"/>
      <c r="G826" s="41"/>
    </row>
    <row r="827" spans="5:7" s="39" customFormat="1" x14ac:dyDescent="0.3">
      <c r="E827" s="41"/>
      <c r="F827" s="41"/>
      <c r="G827" s="41"/>
    </row>
    <row r="828" spans="5:7" s="39" customFormat="1" x14ac:dyDescent="0.3">
      <c r="E828" s="41"/>
      <c r="F828" s="41"/>
      <c r="G828" s="41"/>
    </row>
    <row r="829" spans="5:7" s="39" customFormat="1" x14ac:dyDescent="0.3">
      <c r="E829" s="41"/>
      <c r="F829" s="41"/>
      <c r="G829" s="41"/>
    </row>
    <row r="830" spans="5:7" s="39" customFormat="1" x14ac:dyDescent="0.3">
      <c r="E830" s="41"/>
      <c r="F830" s="41"/>
      <c r="G830" s="41"/>
    </row>
    <row r="831" spans="5:7" s="39" customFormat="1" x14ac:dyDescent="0.3">
      <c r="E831" s="41"/>
      <c r="F831" s="41"/>
      <c r="G831" s="41"/>
    </row>
    <row r="832" spans="5:7" s="39" customFormat="1" x14ac:dyDescent="0.3">
      <c r="E832" s="41"/>
      <c r="F832" s="41"/>
      <c r="G832" s="41"/>
    </row>
    <row r="833" spans="5:7" s="39" customFormat="1" x14ac:dyDescent="0.3">
      <c r="E833" s="41"/>
      <c r="F833" s="41"/>
      <c r="G833" s="41"/>
    </row>
    <row r="834" spans="5:7" s="39" customFormat="1" x14ac:dyDescent="0.3">
      <c r="E834" s="41"/>
      <c r="F834" s="41"/>
      <c r="G834" s="41"/>
    </row>
    <row r="835" spans="5:7" s="39" customFormat="1" x14ac:dyDescent="0.3">
      <c r="E835" s="41"/>
      <c r="F835" s="41"/>
      <c r="G835" s="41"/>
    </row>
    <row r="836" spans="5:7" s="39" customFormat="1" x14ac:dyDescent="0.3">
      <c r="E836" s="41"/>
      <c r="F836" s="41"/>
      <c r="G836" s="41"/>
    </row>
    <row r="837" spans="5:7" s="39" customFormat="1" x14ac:dyDescent="0.3">
      <c r="E837" s="41"/>
      <c r="F837" s="41"/>
      <c r="G837" s="41"/>
    </row>
    <row r="838" spans="5:7" s="39" customFormat="1" x14ac:dyDescent="0.3">
      <c r="E838" s="41"/>
      <c r="F838" s="41"/>
      <c r="G838" s="41"/>
    </row>
    <row r="839" spans="5:7" s="39" customFormat="1" x14ac:dyDescent="0.3">
      <c r="E839" s="41"/>
      <c r="F839" s="41"/>
      <c r="G839" s="41"/>
    </row>
    <row r="840" spans="5:7" s="39" customFormat="1" x14ac:dyDescent="0.3">
      <c r="E840" s="41"/>
      <c r="F840" s="41"/>
      <c r="G840" s="41"/>
    </row>
    <row r="841" spans="5:7" s="39" customFormat="1" x14ac:dyDescent="0.3">
      <c r="E841" s="41"/>
      <c r="F841" s="41"/>
      <c r="G841" s="41"/>
    </row>
    <row r="842" spans="5:7" s="39" customFormat="1" x14ac:dyDescent="0.3">
      <c r="E842" s="41"/>
      <c r="F842" s="41"/>
      <c r="G842" s="41"/>
    </row>
    <row r="843" spans="5:7" s="39" customFormat="1" x14ac:dyDescent="0.3">
      <c r="E843" s="41"/>
      <c r="F843" s="41"/>
      <c r="G843" s="41"/>
    </row>
    <row r="844" spans="5:7" s="39" customFormat="1" x14ac:dyDescent="0.3">
      <c r="E844" s="41"/>
      <c r="F844" s="41"/>
      <c r="G844" s="41"/>
    </row>
    <row r="845" spans="5:7" s="39" customFormat="1" x14ac:dyDescent="0.3">
      <c r="E845" s="41"/>
      <c r="F845" s="41"/>
      <c r="G845" s="41"/>
    </row>
    <row r="846" spans="5:7" s="39" customFormat="1" x14ac:dyDescent="0.3">
      <c r="E846" s="41"/>
      <c r="F846" s="41"/>
      <c r="G846" s="41"/>
    </row>
    <row r="847" spans="5:7" s="39" customFormat="1" x14ac:dyDescent="0.3">
      <c r="E847" s="41"/>
      <c r="F847" s="41"/>
      <c r="G847" s="41"/>
    </row>
    <row r="848" spans="5:7" s="39" customFormat="1" x14ac:dyDescent="0.3">
      <c r="E848" s="41"/>
      <c r="F848" s="41"/>
      <c r="G848" s="41"/>
    </row>
    <row r="849" spans="5:7" s="39" customFormat="1" x14ac:dyDescent="0.3">
      <c r="E849" s="41"/>
      <c r="F849" s="41"/>
      <c r="G849" s="41"/>
    </row>
    <row r="850" spans="5:7" s="39" customFormat="1" x14ac:dyDescent="0.3">
      <c r="E850" s="41"/>
      <c r="F850" s="41"/>
      <c r="G850" s="41"/>
    </row>
    <row r="851" spans="5:7" s="39" customFormat="1" x14ac:dyDescent="0.3">
      <c r="E851" s="41"/>
      <c r="F851" s="41"/>
      <c r="G851" s="41"/>
    </row>
    <row r="852" spans="5:7" s="39" customFormat="1" x14ac:dyDescent="0.3">
      <c r="E852" s="41"/>
      <c r="F852" s="41"/>
      <c r="G852" s="41"/>
    </row>
    <row r="853" spans="5:7" s="39" customFormat="1" x14ac:dyDescent="0.3">
      <c r="E853" s="41"/>
      <c r="F853" s="41"/>
      <c r="G853" s="41"/>
    </row>
    <row r="854" spans="5:7" s="39" customFormat="1" x14ac:dyDescent="0.3">
      <c r="E854" s="41"/>
      <c r="F854" s="41"/>
      <c r="G854" s="41"/>
    </row>
    <row r="855" spans="5:7" s="39" customFormat="1" x14ac:dyDescent="0.3">
      <c r="E855" s="41"/>
      <c r="F855" s="41"/>
      <c r="G855" s="41"/>
    </row>
    <row r="856" spans="5:7" s="39" customFormat="1" x14ac:dyDescent="0.3">
      <c r="E856" s="41"/>
      <c r="F856" s="41"/>
      <c r="G856" s="41"/>
    </row>
    <row r="857" spans="5:7" s="39" customFormat="1" x14ac:dyDescent="0.3">
      <c r="E857" s="41"/>
      <c r="F857" s="41"/>
      <c r="G857" s="41"/>
    </row>
    <row r="858" spans="5:7" s="39" customFormat="1" x14ac:dyDescent="0.3">
      <c r="E858" s="41"/>
      <c r="F858" s="41"/>
      <c r="G858" s="41"/>
    </row>
    <row r="859" spans="5:7" s="39" customFormat="1" x14ac:dyDescent="0.3">
      <c r="E859" s="41"/>
      <c r="F859" s="41"/>
      <c r="G859" s="41"/>
    </row>
    <row r="860" spans="5:7" s="39" customFormat="1" x14ac:dyDescent="0.3">
      <c r="E860" s="41"/>
      <c r="F860" s="41"/>
      <c r="G860" s="41"/>
    </row>
    <row r="861" spans="5:7" s="39" customFormat="1" x14ac:dyDescent="0.3">
      <c r="E861" s="41"/>
      <c r="F861" s="41"/>
      <c r="G861" s="41"/>
    </row>
    <row r="862" spans="5:7" s="39" customFormat="1" x14ac:dyDescent="0.3">
      <c r="E862" s="41"/>
      <c r="F862" s="41"/>
      <c r="G862" s="41"/>
    </row>
    <row r="863" spans="5:7" s="39" customFormat="1" x14ac:dyDescent="0.3">
      <c r="E863" s="41"/>
      <c r="F863" s="41"/>
      <c r="G863" s="41"/>
    </row>
    <row r="864" spans="5:7" s="39" customFormat="1" x14ac:dyDescent="0.3">
      <c r="E864" s="41"/>
      <c r="F864" s="41"/>
      <c r="G864" s="41"/>
    </row>
    <row r="865" spans="5:7" s="39" customFormat="1" x14ac:dyDescent="0.3">
      <c r="E865" s="41"/>
      <c r="F865" s="41"/>
      <c r="G865" s="41"/>
    </row>
    <row r="866" spans="5:7" s="39" customFormat="1" x14ac:dyDescent="0.3">
      <c r="E866" s="41"/>
      <c r="F866" s="41"/>
      <c r="G866" s="41"/>
    </row>
    <row r="867" spans="5:7" s="39" customFormat="1" x14ac:dyDescent="0.3">
      <c r="E867" s="41"/>
      <c r="F867" s="41"/>
      <c r="G867" s="41"/>
    </row>
    <row r="868" spans="5:7" s="39" customFormat="1" x14ac:dyDescent="0.3">
      <c r="E868" s="41"/>
      <c r="F868" s="41"/>
      <c r="G868" s="41"/>
    </row>
    <row r="869" spans="5:7" s="39" customFormat="1" x14ac:dyDescent="0.3">
      <c r="E869" s="41"/>
      <c r="F869" s="41"/>
      <c r="G869" s="41"/>
    </row>
    <row r="870" spans="5:7" s="39" customFormat="1" x14ac:dyDescent="0.3">
      <c r="E870" s="41"/>
      <c r="F870" s="41"/>
      <c r="G870" s="41"/>
    </row>
    <row r="871" spans="5:7" s="39" customFormat="1" x14ac:dyDescent="0.3">
      <c r="E871" s="41"/>
      <c r="F871" s="41"/>
      <c r="G871" s="41"/>
    </row>
    <row r="872" spans="5:7" s="39" customFormat="1" x14ac:dyDescent="0.3">
      <c r="E872" s="41"/>
      <c r="F872" s="41"/>
      <c r="G872" s="41"/>
    </row>
    <row r="873" spans="5:7" s="39" customFormat="1" x14ac:dyDescent="0.3">
      <c r="E873" s="41"/>
      <c r="F873" s="41"/>
      <c r="G873" s="41"/>
    </row>
    <row r="874" spans="5:7" s="39" customFormat="1" x14ac:dyDescent="0.3">
      <c r="E874" s="41"/>
      <c r="F874" s="41"/>
      <c r="G874" s="41"/>
    </row>
    <row r="875" spans="5:7" s="39" customFormat="1" x14ac:dyDescent="0.3">
      <c r="E875" s="41"/>
      <c r="F875" s="41"/>
      <c r="G875" s="41"/>
    </row>
    <row r="876" spans="5:7" s="39" customFormat="1" x14ac:dyDescent="0.3">
      <c r="E876" s="41"/>
      <c r="F876" s="41"/>
      <c r="G876" s="41"/>
    </row>
    <row r="877" spans="5:7" s="39" customFormat="1" x14ac:dyDescent="0.3">
      <c r="E877" s="41"/>
      <c r="F877" s="41"/>
      <c r="G877" s="41"/>
    </row>
    <row r="878" spans="5:7" s="39" customFormat="1" x14ac:dyDescent="0.3">
      <c r="E878" s="41"/>
      <c r="F878" s="41"/>
      <c r="G878" s="41"/>
    </row>
    <row r="879" spans="5:7" s="39" customFormat="1" x14ac:dyDescent="0.3">
      <c r="E879" s="41"/>
      <c r="F879" s="41"/>
      <c r="G879" s="41"/>
    </row>
    <row r="880" spans="5:7" s="39" customFormat="1" x14ac:dyDescent="0.3">
      <c r="E880" s="41"/>
      <c r="F880" s="41"/>
      <c r="G880" s="41"/>
    </row>
    <row r="881" spans="5:7" s="39" customFormat="1" x14ac:dyDescent="0.3">
      <c r="E881" s="41"/>
      <c r="F881" s="41"/>
      <c r="G881" s="41"/>
    </row>
    <row r="882" spans="5:7" s="39" customFormat="1" x14ac:dyDescent="0.3">
      <c r="E882" s="41"/>
      <c r="F882" s="41"/>
      <c r="G882" s="41"/>
    </row>
    <row r="883" spans="5:7" s="39" customFormat="1" x14ac:dyDescent="0.3">
      <c r="E883" s="41"/>
      <c r="F883" s="41"/>
      <c r="G883" s="41"/>
    </row>
    <row r="884" spans="5:7" s="39" customFormat="1" x14ac:dyDescent="0.3">
      <c r="E884" s="41"/>
      <c r="F884" s="41"/>
      <c r="G884" s="41"/>
    </row>
    <row r="885" spans="5:7" s="39" customFormat="1" x14ac:dyDescent="0.3">
      <c r="E885" s="41"/>
      <c r="F885" s="41"/>
      <c r="G885" s="41"/>
    </row>
    <row r="886" spans="5:7" s="39" customFormat="1" x14ac:dyDescent="0.3">
      <c r="E886" s="41"/>
      <c r="F886" s="41"/>
      <c r="G886" s="41"/>
    </row>
    <row r="887" spans="5:7" s="39" customFormat="1" x14ac:dyDescent="0.3">
      <c r="E887" s="41"/>
      <c r="F887" s="41"/>
      <c r="G887" s="41"/>
    </row>
    <row r="888" spans="5:7" s="39" customFormat="1" x14ac:dyDescent="0.3">
      <c r="E888" s="41"/>
      <c r="F888" s="41"/>
      <c r="G888" s="41"/>
    </row>
    <row r="889" spans="5:7" s="39" customFormat="1" x14ac:dyDescent="0.3">
      <c r="E889" s="41"/>
      <c r="F889" s="41"/>
      <c r="G889" s="41"/>
    </row>
    <row r="890" spans="5:7" s="39" customFormat="1" x14ac:dyDescent="0.3">
      <c r="E890" s="41"/>
      <c r="F890" s="41"/>
      <c r="G890" s="41"/>
    </row>
    <row r="891" spans="5:7" s="39" customFormat="1" x14ac:dyDescent="0.3">
      <c r="E891" s="41"/>
      <c r="F891" s="41"/>
      <c r="G891" s="41"/>
    </row>
    <row r="892" spans="5:7" s="39" customFormat="1" x14ac:dyDescent="0.3">
      <c r="E892" s="41"/>
      <c r="F892" s="41"/>
      <c r="G892" s="41"/>
    </row>
    <row r="893" spans="5:7" s="39" customFormat="1" x14ac:dyDescent="0.3">
      <c r="E893" s="41"/>
      <c r="F893" s="41"/>
      <c r="G893" s="41"/>
    </row>
    <row r="894" spans="5:7" s="39" customFormat="1" x14ac:dyDescent="0.3">
      <c r="E894" s="41"/>
      <c r="F894" s="41"/>
      <c r="G894" s="41"/>
    </row>
    <row r="895" spans="5:7" s="39" customFormat="1" x14ac:dyDescent="0.3">
      <c r="E895" s="41"/>
      <c r="F895" s="41"/>
      <c r="G895" s="41"/>
    </row>
    <row r="896" spans="5:7" s="39" customFormat="1" x14ac:dyDescent="0.3">
      <c r="E896" s="41"/>
      <c r="F896" s="41"/>
      <c r="G896" s="41"/>
    </row>
    <row r="897" spans="5:7" s="39" customFormat="1" x14ac:dyDescent="0.3">
      <c r="E897" s="41"/>
      <c r="F897" s="41"/>
      <c r="G897" s="41"/>
    </row>
    <row r="898" spans="5:7" s="39" customFormat="1" x14ac:dyDescent="0.3">
      <c r="E898" s="41"/>
      <c r="F898" s="41"/>
      <c r="G898" s="41"/>
    </row>
    <row r="899" spans="5:7" s="39" customFormat="1" x14ac:dyDescent="0.3">
      <c r="E899" s="41"/>
      <c r="F899" s="41"/>
      <c r="G899" s="41"/>
    </row>
    <row r="900" spans="5:7" s="39" customFormat="1" x14ac:dyDescent="0.3">
      <c r="E900" s="41"/>
      <c r="F900" s="41"/>
      <c r="G900" s="41"/>
    </row>
    <row r="901" spans="5:7" s="39" customFormat="1" x14ac:dyDescent="0.3">
      <c r="E901" s="41"/>
      <c r="F901" s="41"/>
      <c r="G901" s="41"/>
    </row>
    <row r="902" spans="5:7" s="39" customFormat="1" x14ac:dyDescent="0.3">
      <c r="E902" s="41"/>
      <c r="F902" s="41"/>
      <c r="G902" s="41"/>
    </row>
    <row r="903" spans="5:7" s="39" customFormat="1" x14ac:dyDescent="0.3">
      <c r="E903" s="41"/>
      <c r="F903" s="41"/>
      <c r="G903" s="41"/>
    </row>
    <row r="904" spans="5:7" s="39" customFormat="1" x14ac:dyDescent="0.3">
      <c r="E904" s="41"/>
      <c r="F904" s="41"/>
      <c r="G904" s="41"/>
    </row>
    <row r="905" spans="5:7" s="39" customFormat="1" x14ac:dyDescent="0.3">
      <c r="E905" s="41"/>
      <c r="F905" s="41"/>
      <c r="G905" s="41"/>
    </row>
    <row r="906" spans="5:7" s="39" customFormat="1" x14ac:dyDescent="0.3">
      <c r="E906" s="41"/>
      <c r="F906" s="41"/>
      <c r="G906" s="41"/>
    </row>
    <row r="907" spans="5:7" s="39" customFormat="1" x14ac:dyDescent="0.3">
      <c r="E907" s="41"/>
      <c r="F907" s="41"/>
      <c r="G907" s="41"/>
    </row>
    <row r="908" spans="5:7" s="39" customFormat="1" x14ac:dyDescent="0.3">
      <c r="E908" s="41"/>
      <c r="F908" s="41"/>
      <c r="G908" s="41"/>
    </row>
    <row r="909" spans="5:7" s="39" customFormat="1" x14ac:dyDescent="0.3">
      <c r="E909" s="41"/>
      <c r="F909" s="41"/>
      <c r="G909" s="41"/>
    </row>
    <row r="910" spans="5:7" s="39" customFormat="1" x14ac:dyDescent="0.3">
      <c r="E910" s="41"/>
      <c r="F910" s="41"/>
      <c r="G910" s="41"/>
    </row>
    <row r="911" spans="5:7" s="39" customFormat="1" x14ac:dyDescent="0.3">
      <c r="E911" s="41"/>
      <c r="F911" s="41"/>
      <c r="G911" s="41"/>
    </row>
    <row r="912" spans="5:7" s="39" customFormat="1" x14ac:dyDescent="0.3">
      <c r="E912" s="41"/>
      <c r="F912" s="41"/>
      <c r="G912" s="41"/>
    </row>
    <row r="913" spans="5:7" s="39" customFormat="1" x14ac:dyDescent="0.3">
      <c r="E913" s="41"/>
      <c r="F913" s="41"/>
      <c r="G913" s="41"/>
    </row>
    <row r="914" spans="5:7" s="39" customFormat="1" x14ac:dyDescent="0.3">
      <c r="E914" s="41"/>
      <c r="F914" s="41"/>
      <c r="G914" s="41"/>
    </row>
    <row r="915" spans="5:7" s="39" customFormat="1" x14ac:dyDescent="0.3">
      <c r="E915" s="41"/>
      <c r="F915" s="41"/>
      <c r="G915" s="41"/>
    </row>
    <row r="916" spans="5:7" s="39" customFormat="1" x14ac:dyDescent="0.3">
      <c r="E916" s="41"/>
      <c r="F916" s="41"/>
      <c r="G916" s="41"/>
    </row>
    <row r="917" spans="5:7" s="39" customFormat="1" x14ac:dyDescent="0.3">
      <c r="E917" s="41"/>
      <c r="F917" s="41"/>
      <c r="G917" s="41"/>
    </row>
    <row r="918" spans="5:7" s="39" customFormat="1" x14ac:dyDescent="0.3">
      <c r="E918" s="41"/>
      <c r="F918" s="41"/>
      <c r="G918" s="41"/>
    </row>
    <row r="919" spans="5:7" s="39" customFormat="1" x14ac:dyDescent="0.3">
      <c r="E919" s="41"/>
      <c r="F919" s="41"/>
      <c r="G919" s="41"/>
    </row>
    <row r="920" spans="5:7" s="39" customFormat="1" x14ac:dyDescent="0.3">
      <c r="E920" s="41"/>
      <c r="F920" s="41"/>
      <c r="G920" s="41"/>
    </row>
    <row r="921" spans="5:7" s="39" customFormat="1" x14ac:dyDescent="0.3">
      <c r="E921" s="41"/>
      <c r="F921" s="41"/>
      <c r="G921" s="41"/>
    </row>
    <row r="922" spans="5:7" s="39" customFormat="1" x14ac:dyDescent="0.3">
      <c r="E922" s="41"/>
      <c r="F922" s="41"/>
      <c r="G922" s="41"/>
    </row>
    <row r="923" spans="5:7" s="39" customFormat="1" x14ac:dyDescent="0.3">
      <c r="E923" s="41"/>
      <c r="F923" s="41"/>
      <c r="G923" s="41"/>
    </row>
    <row r="924" spans="5:7" s="39" customFormat="1" x14ac:dyDescent="0.3">
      <c r="E924" s="41"/>
      <c r="F924" s="41"/>
      <c r="G924" s="41"/>
    </row>
    <row r="925" spans="5:7" s="39" customFormat="1" x14ac:dyDescent="0.3">
      <c r="E925" s="41"/>
      <c r="F925" s="41"/>
      <c r="G925" s="41"/>
    </row>
    <row r="926" spans="5:7" s="39" customFormat="1" x14ac:dyDescent="0.3">
      <c r="E926" s="41"/>
      <c r="F926" s="41"/>
      <c r="G926" s="41"/>
    </row>
    <row r="927" spans="5:7" s="39" customFormat="1" x14ac:dyDescent="0.3">
      <c r="E927" s="41"/>
      <c r="F927" s="41"/>
      <c r="G927" s="41"/>
    </row>
    <row r="928" spans="5:7" s="39" customFormat="1" x14ac:dyDescent="0.3">
      <c r="E928" s="41"/>
      <c r="F928" s="41"/>
      <c r="G928" s="41"/>
    </row>
    <row r="929" spans="5:7" s="39" customFormat="1" x14ac:dyDescent="0.3">
      <c r="E929" s="41"/>
      <c r="F929" s="41"/>
      <c r="G929" s="41"/>
    </row>
    <row r="930" spans="5:7" s="39" customFormat="1" x14ac:dyDescent="0.3">
      <c r="E930" s="41"/>
      <c r="F930" s="41"/>
      <c r="G930" s="41"/>
    </row>
    <row r="931" spans="5:7" s="39" customFormat="1" x14ac:dyDescent="0.3">
      <c r="E931" s="41"/>
      <c r="F931" s="41"/>
      <c r="G931" s="41"/>
    </row>
    <row r="932" spans="5:7" s="39" customFormat="1" x14ac:dyDescent="0.3">
      <c r="E932" s="41"/>
      <c r="F932" s="41"/>
      <c r="G932" s="41"/>
    </row>
    <row r="933" spans="5:7" s="39" customFormat="1" x14ac:dyDescent="0.3">
      <c r="E933" s="41"/>
      <c r="F933" s="41"/>
      <c r="G933" s="41"/>
    </row>
    <row r="934" spans="5:7" s="39" customFormat="1" x14ac:dyDescent="0.3">
      <c r="E934" s="41"/>
      <c r="F934" s="41"/>
      <c r="G934" s="41"/>
    </row>
    <row r="935" spans="5:7" s="39" customFormat="1" x14ac:dyDescent="0.3">
      <c r="E935" s="41"/>
      <c r="F935" s="41"/>
      <c r="G935" s="41"/>
    </row>
    <row r="936" spans="5:7" s="39" customFormat="1" x14ac:dyDescent="0.3">
      <c r="E936" s="41"/>
      <c r="F936" s="41"/>
      <c r="G936" s="41"/>
    </row>
    <row r="937" spans="5:7" s="39" customFormat="1" x14ac:dyDescent="0.3">
      <c r="E937" s="41"/>
      <c r="F937" s="41"/>
      <c r="G937" s="41"/>
    </row>
    <row r="938" spans="5:7" s="39" customFormat="1" x14ac:dyDescent="0.3">
      <c r="E938" s="41"/>
      <c r="F938" s="41"/>
      <c r="G938" s="41"/>
    </row>
    <row r="939" spans="5:7" s="39" customFormat="1" x14ac:dyDescent="0.3">
      <c r="E939" s="41"/>
      <c r="F939" s="41"/>
      <c r="G939" s="41"/>
    </row>
    <row r="940" spans="5:7" s="39" customFormat="1" x14ac:dyDescent="0.3">
      <c r="E940" s="41"/>
      <c r="F940" s="41"/>
      <c r="G940" s="41"/>
    </row>
    <row r="941" spans="5:7" s="39" customFormat="1" x14ac:dyDescent="0.3">
      <c r="E941" s="41"/>
      <c r="F941" s="41"/>
      <c r="G941" s="41"/>
    </row>
    <row r="942" spans="5:7" s="39" customFormat="1" x14ac:dyDescent="0.3">
      <c r="E942" s="41"/>
      <c r="F942" s="41"/>
      <c r="G942" s="41"/>
    </row>
    <row r="943" spans="5:7" s="39" customFormat="1" x14ac:dyDescent="0.3">
      <c r="E943" s="41"/>
      <c r="F943" s="41"/>
      <c r="G943" s="41"/>
    </row>
    <row r="944" spans="5:7" s="39" customFormat="1" x14ac:dyDescent="0.3">
      <c r="E944" s="41"/>
      <c r="F944" s="41"/>
      <c r="G944" s="41"/>
    </row>
    <row r="945" spans="5:7" s="39" customFormat="1" x14ac:dyDescent="0.3">
      <c r="E945" s="41"/>
      <c r="F945" s="41"/>
      <c r="G945" s="41"/>
    </row>
    <row r="946" spans="5:7" s="39" customFormat="1" x14ac:dyDescent="0.3">
      <c r="E946" s="41"/>
      <c r="F946" s="41"/>
      <c r="G946" s="41"/>
    </row>
    <row r="947" spans="5:7" s="39" customFormat="1" x14ac:dyDescent="0.3">
      <c r="E947" s="41"/>
      <c r="F947" s="41"/>
      <c r="G947" s="41"/>
    </row>
    <row r="948" spans="5:7" s="39" customFormat="1" x14ac:dyDescent="0.3">
      <c r="E948" s="41"/>
      <c r="F948" s="41"/>
      <c r="G948" s="41"/>
    </row>
    <row r="949" spans="5:7" s="39" customFormat="1" x14ac:dyDescent="0.3">
      <c r="E949" s="41"/>
      <c r="F949" s="41"/>
      <c r="G949" s="41"/>
    </row>
    <row r="950" spans="5:7" s="39" customFormat="1" x14ac:dyDescent="0.3">
      <c r="E950" s="41"/>
      <c r="F950" s="41"/>
      <c r="G950" s="41"/>
    </row>
    <row r="951" spans="5:7" s="39" customFormat="1" x14ac:dyDescent="0.3">
      <c r="E951" s="41"/>
      <c r="F951" s="41"/>
      <c r="G951" s="41"/>
    </row>
    <row r="952" spans="5:7" s="39" customFormat="1" x14ac:dyDescent="0.3">
      <c r="E952" s="41"/>
      <c r="F952" s="41"/>
      <c r="G952" s="41"/>
    </row>
    <row r="953" spans="5:7" s="39" customFormat="1" x14ac:dyDescent="0.3">
      <c r="E953" s="41"/>
      <c r="F953" s="41"/>
      <c r="G953" s="41"/>
    </row>
    <row r="954" spans="5:7" s="39" customFormat="1" x14ac:dyDescent="0.3">
      <c r="E954" s="41"/>
      <c r="F954" s="41"/>
      <c r="G954" s="41"/>
    </row>
    <row r="955" spans="5:7" s="39" customFormat="1" x14ac:dyDescent="0.3">
      <c r="E955" s="41"/>
      <c r="F955" s="41"/>
      <c r="G955" s="41"/>
    </row>
    <row r="956" spans="5:7" s="39" customFormat="1" x14ac:dyDescent="0.3">
      <c r="E956" s="41"/>
      <c r="F956" s="41"/>
      <c r="G956" s="41"/>
    </row>
    <row r="957" spans="5:7" s="39" customFormat="1" x14ac:dyDescent="0.3">
      <c r="E957" s="41"/>
      <c r="F957" s="41"/>
      <c r="G957" s="41"/>
    </row>
    <row r="958" spans="5:7" s="39" customFormat="1" x14ac:dyDescent="0.3">
      <c r="E958" s="41"/>
      <c r="F958" s="41"/>
      <c r="G958" s="41"/>
    </row>
    <row r="959" spans="5:7" s="39" customFormat="1" x14ac:dyDescent="0.3">
      <c r="E959" s="41"/>
      <c r="F959" s="41"/>
      <c r="G959" s="41"/>
    </row>
    <row r="960" spans="5:7" s="39" customFormat="1" x14ac:dyDescent="0.3">
      <c r="E960" s="41"/>
      <c r="F960" s="41"/>
      <c r="G960" s="41"/>
    </row>
    <row r="961" spans="5:7" s="39" customFormat="1" x14ac:dyDescent="0.3">
      <c r="E961" s="41"/>
      <c r="F961" s="41"/>
      <c r="G961" s="41"/>
    </row>
    <row r="962" spans="5:7" s="39" customFormat="1" x14ac:dyDescent="0.3">
      <c r="E962" s="41"/>
      <c r="F962" s="41"/>
      <c r="G962" s="41"/>
    </row>
    <row r="963" spans="5:7" s="39" customFormat="1" x14ac:dyDescent="0.3">
      <c r="E963" s="41"/>
      <c r="F963" s="41"/>
      <c r="G963" s="41"/>
    </row>
    <row r="964" spans="5:7" s="39" customFormat="1" x14ac:dyDescent="0.3">
      <c r="E964" s="41"/>
      <c r="F964" s="41"/>
      <c r="G964" s="41"/>
    </row>
    <row r="965" spans="5:7" s="39" customFormat="1" x14ac:dyDescent="0.3">
      <c r="E965" s="41"/>
      <c r="F965" s="41"/>
      <c r="G965" s="41"/>
    </row>
    <row r="966" spans="5:7" s="39" customFormat="1" x14ac:dyDescent="0.3">
      <c r="E966" s="41"/>
      <c r="F966" s="41"/>
      <c r="G966" s="41"/>
    </row>
    <row r="967" spans="5:7" s="39" customFormat="1" x14ac:dyDescent="0.3">
      <c r="E967" s="41"/>
      <c r="F967" s="41"/>
      <c r="G967" s="41"/>
    </row>
    <row r="968" spans="5:7" s="39" customFormat="1" x14ac:dyDescent="0.3">
      <c r="E968" s="41"/>
      <c r="F968" s="41"/>
      <c r="G968" s="41"/>
    </row>
    <row r="969" spans="5:7" s="39" customFormat="1" x14ac:dyDescent="0.3">
      <c r="E969" s="41"/>
      <c r="F969" s="41"/>
      <c r="G969" s="41"/>
    </row>
    <row r="970" spans="5:7" s="39" customFormat="1" x14ac:dyDescent="0.3">
      <c r="E970" s="41"/>
      <c r="F970" s="41"/>
      <c r="G970" s="41"/>
    </row>
    <row r="971" spans="5:7" s="39" customFormat="1" x14ac:dyDescent="0.3">
      <c r="E971" s="41"/>
      <c r="F971" s="41"/>
      <c r="G971" s="41"/>
    </row>
    <row r="972" spans="5:7" s="39" customFormat="1" x14ac:dyDescent="0.3">
      <c r="E972" s="41"/>
      <c r="F972" s="41"/>
      <c r="G972" s="41"/>
    </row>
    <row r="973" spans="5:7" s="39" customFormat="1" x14ac:dyDescent="0.3">
      <c r="E973" s="41"/>
      <c r="F973" s="41"/>
      <c r="G973" s="41"/>
    </row>
    <row r="974" spans="5:7" s="39" customFormat="1" x14ac:dyDescent="0.3">
      <c r="E974" s="41"/>
      <c r="F974" s="41"/>
      <c r="G974" s="41"/>
    </row>
    <row r="975" spans="5:7" s="39" customFormat="1" x14ac:dyDescent="0.3">
      <c r="E975" s="41"/>
      <c r="F975" s="41"/>
      <c r="G975" s="41"/>
    </row>
    <row r="976" spans="5:7" s="39" customFormat="1" x14ac:dyDescent="0.3">
      <c r="E976" s="41"/>
      <c r="F976" s="41"/>
      <c r="G976" s="41"/>
    </row>
    <row r="977" spans="5:7" s="39" customFormat="1" x14ac:dyDescent="0.3">
      <c r="E977" s="41"/>
      <c r="F977" s="41"/>
      <c r="G977" s="41"/>
    </row>
    <row r="978" spans="5:7" s="39" customFormat="1" x14ac:dyDescent="0.3">
      <c r="E978" s="41"/>
      <c r="F978" s="41"/>
      <c r="G978" s="41"/>
    </row>
    <row r="979" spans="5:7" s="39" customFormat="1" x14ac:dyDescent="0.3">
      <c r="E979" s="41"/>
      <c r="F979" s="41"/>
      <c r="G979" s="41"/>
    </row>
    <row r="980" spans="5:7" s="39" customFormat="1" x14ac:dyDescent="0.3">
      <c r="E980" s="41"/>
      <c r="F980" s="41"/>
      <c r="G980" s="41"/>
    </row>
    <row r="981" spans="5:7" s="39" customFormat="1" x14ac:dyDescent="0.3">
      <c r="E981" s="41"/>
      <c r="F981" s="41"/>
      <c r="G981" s="41"/>
    </row>
    <row r="982" spans="5:7" s="39" customFormat="1" x14ac:dyDescent="0.3">
      <c r="E982" s="41"/>
      <c r="F982" s="41"/>
      <c r="G982" s="41"/>
    </row>
    <row r="983" spans="5:7" s="39" customFormat="1" x14ac:dyDescent="0.3">
      <c r="E983" s="41"/>
      <c r="F983" s="41"/>
      <c r="G983" s="41"/>
    </row>
    <row r="984" spans="5:7" s="39" customFormat="1" x14ac:dyDescent="0.3">
      <c r="E984" s="41"/>
      <c r="F984" s="41"/>
      <c r="G984" s="41"/>
    </row>
    <row r="985" spans="5:7" s="39" customFormat="1" x14ac:dyDescent="0.3">
      <c r="E985" s="41"/>
      <c r="F985" s="41"/>
      <c r="G985" s="41"/>
    </row>
    <row r="986" spans="5:7" s="39" customFormat="1" x14ac:dyDescent="0.3">
      <c r="E986" s="41"/>
      <c r="F986" s="41"/>
      <c r="G986" s="41"/>
    </row>
    <row r="987" spans="5:7" s="39" customFormat="1" x14ac:dyDescent="0.3">
      <c r="E987" s="41"/>
      <c r="F987" s="41"/>
      <c r="G987" s="41"/>
    </row>
    <row r="988" spans="5:7" s="39" customFormat="1" x14ac:dyDescent="0.3">
      <c r="E988" s="41"/>
      <c r="F988" s="41"/>
      <c r="G988" s="41"/>
    </row>
    <row r="989" spans="5:7" s="39" customFormat="1" x14ac:dyDescent="0.3">
      <c r="E989" s="41"/>
      <c r="F989" s="41"/>
      <c r="G989" s="41"/>
    </row>
    <row r="990" spans="5:7" s="39" customFormat="1" x14ac:dyDescent="0.3">
      <c r="E990" s="41"/>
      <c r="F990" s="41"/>
      <c r="G990" s="41"/>
    </row>
    <row r="991" spans="5:7" s="39" customFormat="1" x14ac:dyDescent="0.3">
      <c r="E991" s="41"/>
      <c r="F991" s="41"/>
      <c r="G991" s="41"/>
    </row>
    <row r="992" spans="5:7" s="39" customFormat="1" x14ac:dyDescent="0.3">
      <c r="E992" s="41"/>
      <c r="F992" s="41"/>
      <c r="G992" s="41"/>
    </row>
    <row r="993" spans="5:7" s="39" customFormat="1" x14ac:dyDescent="0.3">
      <c r="E993" s="41"/>
      <c r="F993" s="41"/>
      <c r="G993" s="41"/>
    </row>
    <row r="994" spans="5:7" s="39" customFormat="1" x14ac:dyDescent="0.3">
      <c r="E994" s="41"/>
      <c r="F994" s="41"/>
      <c r="G994" s="41"/>
    </row>
    <row r="995" spans="5:7" s="39" customFormat="1" x14ac:dyDescent="0.3">
      <c r="E995" s="41"/>
      <c r="F995" s="41"/>
      <c r="G995" s="41"/>
    </row>
    <row r="996" spans="5:7" s="39" customFormat="1" x14ac:dyDescent="0.3">
      <c r="E996" s="41"/>
      <c r="F996" s="41"/>
      <c r="G996" s="41"/>
    </row>
    <row r="997" spans="5:7" s="39" customFormat="1" x14ac:dyDescent="0.3">
      <c r="E997" s="41"/>
      <c r="F997" s="41"/>
      <c r="G997" s="41"/>
    </row>
    <row r="998" spans="5:7" s="39" customFormat="1" x14ac:dyDescent="0.3">
      <c r="E998" s="41"/>
      <c r="F998" s="41"/>
      <c r="G998" s="41"/>
    </row>
    <row r="999" spans="5:7" s="39" customFormat="1" x14ac:dyDescent="0.3">
      <c r="E999" s="41"/>
      <c r="F999" s="41"/>
      <c r="G999" s="41"/>
    </row>
    <row r="1000" spans="5:7" s="39" customFormat="1" x14ac:dyDescent="0.3">
      <c r="E1000" s="41"/>
      <c r="F1000" s="41"/>
      <c r="G1000" s="41"/>
    </row>
    <row r="1001" spans="5:7" s="39" customFormat="1" x14ac:dyDescent="0.3">
      <c r="E1001" s="41"/>
      <c r="F1001" s="41"/>
      <c r="G1001" s="41"/>
    </row>
    <row r="1002" spans="5:7" s="39" customFormat="1" x14ac:dyDescent="0.3">
      <c r="E1002" s="41"/>
      <c r="F1002" s="41"/>
      <c r="G1002" s="41"/>
    </row>
    <row r="1003" spans="5:7" s="39" customFormat="1" x14ac:dyDescent="0.3">
      <c r="E1003" s="41"/>
      <c r="F1003" s="41"/>
      <c r="G1003" s="41"/>
    </row>
    <row r="1004" spans="5:7" s="39" customFormat="1" x14ac:dyDescent="0.3">
      <c r="E1004" s="41"/>
      <c r="F1004" s="41"/>
      <c r="G1004" s="41"/>
    </row>
    <row r="1005" spans="5:7" s="39" customFormat="1" x14ac:dyDescent="0.3">
      <c r="E1005" s="41"/>
      <c r="F1005" s="41"/>
      <c r="G1005" s="41"/>
    </row>
    <row r="1006" spans="5:7" s="39" customFormat="1" x14ac:dyDescent="0.3">
      <c r="E1006" s="41"/>
      <c r="F1006" s="41"/>
      <c r="G1006" s="41"/>
    </row>
    <row r="1007" spans="5:7" s="39" customFormat="1" x14ac:dyDescent="0.3">
      <c r="E1007" s="41"/>
      <c r="F1007" s="41"/>
      <c r="G1007" s="41"/>
    </row>
    <row r="1008" spans="5:7" s="39" customFormat="1" x14ac:dyDescent="0.3">
      <c r="E1008" s="41"/>
      <c r="F1008" s="41"/>
      <c r="G1008" s="41"/>
    </row>
    <row r="1009" spans="5:7" s="39" customFormat="1" x14ac:dyDescent="0.3">
      <c r="E1009" s="41"/>
      <c r="F1009" s="41"/>
      <c r="G1009" s="41"/>
    </row>
    <row r="1010" spans="5:7" s="39" customFormat="1" x14ac:dyDescent="0.3">
      <c r="E1010" s="41"/>
      <c r="F1010" s="41"/>
      <c r="G1010" s="41"/>
    </row>
    <row r="1011" spans="5:7" s="39" customFormat="1" x14ac:dyDescent="0.3">
      <c r="E1011" s="41"/>
      <c r="F1011" s="41"/>
      <c r="G1011" s="41"/>
    </row>
    <row r="1012" spans="5:7" s="39" customFormat="1" x14ac:dyDescent="0.3">
      <c r="E1012" s="41"/>
      <c r="F1012" s="41"/>
      <c r="G1012" s="41"/>
    </row>
    <row r="1013" spans="5:7" s="39" customFormat="1" x14ac:dyDescent="0.3">
      <c r="E1013" s="41"/>
      <c r="F1013" s="41"/>
      <c r="G1013" s="41"/>
    </row>
    <row r="1014" spans="5:7" s="39" customFormat="1" x14ac:dyDescent="0.3">
      <c r="E1014" s="41"/>
      <c r="F1014" s="41"/>
      <c r="G1014" s="41"/>
    </row>
    <row r="1015" spans="5:7" s="39" customFormat="1" x14ac:dyDescent="0.3">
      <c r="E1015" s="41"/>
      <c r="F1015" s="41"/>
      <c r="G1015" s="41"/>
    </row>
    <row r="1016" spans="5:7" s="39" customFormat="1" x14ac:dyDescent="0.3">
      <c r="E1016" s="41"/>
      <c r="F1016" s="41"/>
      <c r="G1016" s="41"/>
    </row>
    <row r="1017" spans="5:7" s="39" customFormat="1" x14ac:dyDescent="0.3">
      <c r="E1017" s="41"/>
      <c r="F1017" s="41"/>
      <c r="G1017" s="41"/>
    </row>
    <row r="1018" spans="5:7" s="39" customFormat="1" x14ac:dyDescent="0.3">
      <c r="E1018" s="41"/>
      <c r="F1018" s="41"/>
      <c r="G1018" s="41"/>
    </row>
    <row r="1019" spans="5:7" s="39" customFormat="1" x14ac:dyDescent="0.3">
      <c r="E1019" s="41"/>
      <c r="F1019" s="41"/>
      <c r="G1019" s="41"/>
    </row>
    <row r="1020" spans="5:7" s="39" customFormat="1" x14ac:dyDescent="0.3">
      <c r="E1020" s="41"/>
      <c r="F1020" s="41"/>
      <c r="G1020" s="41"/>
    </row>
    <row r="1021" spans="5:7" s="39" customFormat="1" x14ac:dyDescent="0.3">
      <c r="E1021" s="41"/>
      <c r="F1021" s="41"/>
      <c r="G1021" s="41"/>
    </row>
    <row r="1022" spans="5:7" s="39" customFormat="1" x14ac:dyDescent="0.3">
      <c r="E1022" s="41"/>
      <c r="F1022" s="41"/>
      <c r="G1022" s="41"/>
    </row>
    <row r="1023" spans="5:7" s="39" customFormat="1" x14ac:dyDescent="0.3">
      <c r="E1023" s="41"/>
      <c r="F1023" s="41"/>
      <c r="G1023" s="41"/>
    </row>
    <row r="1024" spans="5:7" s="39" customFormat="1" x14ac:dyDescent="0.3">
      <c r="E1024" s="41"/>
      <c r="F1024" s="41"/>
      <c r="G1024" s="41"/>
    </row>
    <row r="1025" spans="5:7" s="39" customFormat="1" x14ac:dyDescent="0.3">
      <c r="E1025" s="41"/>
      <c r="F1025" s="41"/>
      <c r="G1025" s="41"/>
    </row>
    <row r="1026" spans="5:7" s="39" customFormat="1" x14ac:dyDescent="0.3">
      <c r="E1026" s="41"/>
      <c r="F1026" s="41"/>
      <c r="G1026" s="41"/>
    </row>
    <row r="1027" spans="5:7" s="39" customFormat="1" x14ac:dyDescent="0.3">
      <c r="E1027" s="41"/>
      <c r="F1027" s="41"/>
      <c r="G1027" s="41"/>
    </row>
    <row r="1028" spans="5:7" s="39" customFormat="1" x14ac:dyDescent="0.3">
      <c r="E1028" s="41"/>
      <c r="F1028" s="41"/>
      <c r="G1028" s="41"/>
    </row>
    <row r="1029" spans="5:7" s="39" customFormat="1" x14ac:dyDescent="0.3">
      <c r="E1029" s="41"/>
      <c r="F1029" s="41"/>
      <c r="G1029" s="41"/>
    </row>
    <row r="1030" spans="5:7" s="39" customFormat="1" x14ac:dyDescent="0.3">
      <c r="E1030" s="41"/>
      <c r="F1030" s="41"/>
      <c r="G1030" s="41"/>
    </row>
    <row r="1031" spans="5:7" s="39" customFormat="1" x14ac:dyDescent="0.3">
      <c r="E1031" s="41"/>
      <c r="F1031" s="41"/>
      <c r="G1031" s="41"/>
    </row>
    <row r="1032" spans="5:7" s="39" customFormat="1" x14ac:dyDescent="0.3">
      <c r="E1032" s="41"/>
      <c r="F1032" s="41"/>
      <c r="G1032" s="41"/>
    </row>
    <row r="1033" spans="5:7" s="39" customFormat="1" x14ac:dyDescent="0.3">
      <c r="E1033" s="41"/>
      <c r="F1033" s="41"/>
      <c r="G1033" s="41"/>
    </row>
    <row r="1034" spans="5:7" s="39" customFormat="1" x14ac:dyDescent="0.3">
      <c r="E1034" s="41"/>
      <c r="F1034" s="41"/>
      <c r="G1034" s="41"/>
    </row>
    <row r="1035" spans="5:7" s="39" customFormat="1" x14ac:dyDescent="0.3">
      <c r="E1035" s="41"/>
      <c r="F1035" s="41"/>
      <c r="G1035" s="41"/>
    </row>
    <row r="1036" spans="5:7" s="39" customFormat="1" x14ac:dyDescent="0.3">
      <c r="E1036" s="41"/>
      <c r="F1036" s="41"/>
      <c r="G1036" s="41"/>
    </row>
    <row r="1037" spans="5:7" s="39" customFormat="1" x14ac:dyDescent="0.3">
      <c r="E1037" s="41"/>
      <c r="F1037" s="41"/>
      <c r="G1037" s="41"/>
    </row>
    <row r="1038" spans="5:7" s="39" customFormat="1" x14ac:dyDescent="0.3">
      <c r="E1038" s="41"/>
      <c r="F1038" s="41"/>
      <c r="G1038" s="41"/>
    </row>
    <row r="1039" spans="5:7" s="39" customFormat="1" x14ac:dyDescent="0.3">
      <c r="E1039" s="41"/>
      <c r="F1039" s="41"/>
      <c r="G1039" s="41"/>
    </row>
    <row r="1040" spans="5:7" s="39" customFormat="1" x14ac:dyDescent="0.3">
      <c r="E1040" s="41"/>
      <c r="F1040" s="41"/>
      <c r="G1040" s="41"/>
    </row>
    <row r="1041" spans="5:7" s="39" customFormat="1" x14ac:dyDescent="0.3">
      <c r="E1041" s="41"/>
      <c r="F1041" s="41"/>
      <c r="G1041" s="41"/>
    </row>
    <row r="1042" spans="5:7" s="39" customFormat="1" x14ac:dyDescent="0.3">
      <c r="E1042" s="41"/>
      <c r="F1042" s="41"/>
      <c r="G1042" s="41"/>
    </row>
    <row r="1043" spans="5:7" s="39" customFormat="1" x14ac:dyDescent="0.3">
      <c r="E1043" s="41"/>
      <c r="F1043" s="41"/>
      <c r="G1043" s="41"/>
    </row>
    <row r="1044" spans="5:7" s="39" customFormat="1" x14ac:dyDescent="0.3">
      <c r="E1044" s="41"/>
      <c r="F1044" s="41"/>
      <c r="G1044" s="41"/>
    </row>
    <row r="1045" spans="5:7" s="39" customFormat="1" x14ac:dyDescent="0.3">
      <c r="E1045" s="41"/>
      <c r="F1045" s="41"/>
      <c r="G1045" s="41"/>
    </row>
    <row r="1046" spans="5:7" s="39" customFormat="1" x14ac:dyDescent="0.3">
      <c r="E1046" s="41"/>
      <c r="F1046" s="41"/>
      <c r="G1046" s="41"/>
    </row>
    <row r="1047" spans="5:7" s="39" customFormat="1" x14ac:dyDescent="0.3">
      <c r="E1047" s="41"/>
      <c r="F1047" s="41"/>
      <c r="G1047" s="41"/>
    </row>
    <row r="1048" spans="5:7" s="39" customFormat="1" x14ac:dyDescent="0.3">
      <c r="E1048" s="41"/>
      <c r="F1048" s="41"/>
      <c r="G1048" s="41"/>
    </row>
    <row r="1049" spans="5:7" s="39" customFormat="1" x14ac:dyDescent="0.3">
      <c r="E1049" s="41"/>
      <c r="F1049" s="41"/>
      <c r="G1049" s="41"/>
    </row>
    <row r="1050" spans="5:7" s="39" customFormat="1" x14ac:dyDescent="0.3">
      <c r="E1050" s="41"/>
      <c r="F1050" s="41"/>
      <c r="G1050" s="41"/>
    </row>
    <row r="1051" spans="5:7" s="39" customFormat="1" x14ac:dyDescent="0.3">
      <c r="E1051" s="41"/>
      <c r="F1051" s="41"/>
      <c r="G1051" s="41"/>
    </row>
    <row r="1052" spans="5:7" s="39" customFormat="1" x14ac:dyDescent="0.3">
      <c r="E1052" s="41"/>
      <c r="F1052" s="41"/>
      <c r="G1052" s="41"/>
    </row>
    <row r="1053" spans="5:7" s="39" customFormat="1" x14ac:dyDescent="0.3">
      <c r="E1053" s="41"/>
      <c r="F1053" s="41"/>
      <c r="G1053" s="41"/>
    </row>
    <row r="1054" spans="5:7" s="39" customFormat="1" x14ac:dyDescent="0.3">
      <c r="E1054" s="41"/>
      <c r="F1054" s="41"/>
      <c r="G1054" s="41"/>
    </row>
    <row r="1055" spans="5:7" s="39" customFormat="1" x14ac:dyDescent="0.3">
      <c r="E1055" s="41"/>
      <c r="F1055" s="41"/>
      <c r="G1055" s="41"/>
    </row>
    <row r="1056" spans="5:7" s="39" customFormat="1" x14ac:dyDescent="0.3">
      <c r="E1056" s="41"/>
      <c r="F1056" s="41"/>
      <c r="G1056" s="41"/>
    </row>
    <row r="1057" spans="5:7" s="39" customFormat="1" x14ac:dyDescent="0.3">
      <c r="E1057" s="41"/>
      <c r="F1057" s="41"/>
      <c r="G1057" s="41"/>
    </row>
    <row r="1058" spans="5:7" s="39" customFormat="1" x14ac:dyDescent="0.3">
      <c r="E1058" s="41"/>
      <c r="F1058" s="41"/>
      <c r="G1058" s="41"/>
    </row>
    <row r="1059" spans="5:7" s="39" customFormat="1" x14ac:dyDescent="0.3">
      <c r="E1059" s="41"/>
      <c r="F1059" s="41"/>
      <c r="G1059" s="41"/>
    </row>
    <row r="1060" spans="5:7" s="39" customFormat="1" x14ac:dyDescent="0.3">
      <c r="E1060" s="41"/>
      <c r="F1060" s="41"/>
      <c r="G1060" s="41"/>
    </row>
    <row r="1061" spans="5:7" s="39" customFormat="1" x14ac:dyDescent="0.3">
      <c r="E1061" s="41"/>
      <c r="F1061" s="41"/>
      <c r="G1061" s="41"/>
    </row>
    <row r="1062" spans="5:7" s="39" customFormat="1" x14ac:dyDescent="0.3">
      <c r="E1062" s="41"/>
      <c r="F1062" s="41"/>
      <c r="G1062" s="41"/>
    </row>
    <row r="1063" spans="5:7" s="39" customFormat="1" x14ac:dyDescent="0.3">
      <c r="E1063" s="41"/>
      <c r="F1063" s="41"/>
      <c r="G1063" s="41"/>
    </row>
    <row r="1064" spans="5:7" s="39" customFormat="1" x14ac:dyDescent="0.3">
      <c r="E1064" s="41"/>
      <c r="F1064" s="41"/>
      <c r="G1064" s="41"/>
    </row>
    <row r="1065" spans="5:7" s="39" customFormat="1" x14ac:dyDescent="0.3">
      <c r="E1065" s="41"/>
      <c r="F1065" s="41"/>
      <c r="G1065" s="41"/>
    </row>
    <row r="1066" spans="5:7" s="39" customFormat="1" x14ac:dyDescent="0.3">
      <c r="E1066" s="41"/>
      <c r="F1066" s="41"/>
      <c r="G1066" s="41"/>
    </row>
    <row r="1067" spans="5:7" s="39" customFormat="1" x14ac:dyDescent="0.3">
      <c r="E1067" s="41"/>
      <c r="F1067" s="41"/>
      <c r="G1067" s="41"/>
    </row>
    <row r="1068" spans="5:7" s="39" customFormat="1" x14ac:dyDescent="0.3">
      <c r="E1068" s="41"/>
      <c r="F1068" s="41"/>
      <c r="G1068" s="41"/>
    </row>
    <row r="1069" spans="5:7" s="39" customFormat="1" x14ac:dyDescent="0.3">
      <c r="E1069" s="41"/>
      <c r="F1069" s="41"/>
      <c r="G1069" s="41"/>
    </row>
    <row r="1070" spans="5:7" s="39" customFormat="1" x14ac:dyDescent="0.3">
      <c r="E1070" s="41"/>
      <c r="F1070" s="41"/>
      <c r="G1070" s="41"/>
    </row>
    <row r="1071" spans="5:7" s="39" customFormat="1" x14ac:dyDescent="0.3">
      <c r="E1071" s="41"/>
      <c r="F1071" s="41"/>
      <c r="G1071" s="41"/>
    </row>
    <row r="1072" spans="5:7" s="39" customFormat="1" x14ac:dyDescent="0.3">
      <c r="E1072" s="41"/>
      <c r="F1072" s="41"/>
      <c r="G1072" s="41"/>
    </row>
    <row r="1073" spans="5:7" s="39" customFormat="1" x14ac:dyDescent="0.3">
      <c r="E1073" s="41"/>
      <c r="F1073" s="41"/>
      <c r="G1073" s="41"/>
    </row>
    <row r="1074" spans="5:7" s="39" customFormat="1" x14ac:dyDescent="0.3">
      <c r="E1074" s="41"/>
      <c r="F1074" s="41"/>
      <c r="G1074" s="41"/>
    </row>
    <row r="1075" spans="5:7" s="39" customFormat="1" x14ac:dyDescent="0.3">
      <c r="E1075" s="41"/>
      <c r="F1075" s="41"/>
      <c r="G1075" s="41"/>
    </row>
    <row r="1076" spans="5:7" s="39" customFormat="1" x14ac:dyDescent="0.3">
      <c r="E1076" s="41"/>
      <c r="F1076" s="41"/>
      <c r="G1076" s="41"/>
    </row>
    <row r="1077" spans="5:7" s="39" customFormat="1" x14ac:dyDescent="0.3">
      <c r="E1077" s="41"/>
      <c r="F1077" s="41"/>
      <c r="G1077" s="41"/>
    </row>
    <row r="1078" spans="5:7" s="39" customFormat="1" x14ac:dyDescent="0.3">
      <c r="E1078" s="41"/>
      <c r="F1078" s="41"/>
      <c r="G1078" s="41"/>
    </row>
    <row r="1079" spans="5:7" s="39" customFormat="1" x14ac:dyDescent="0.3">
      <c r="E1079" s="41"/>
      <c r="F1079" s="41"/>
      <c r="G1079" s="41"/>
    </row>
    <row r="1080" spans="5:7" s="39" customFormat="1" x14ac:dyDescent="0.3">
      <c r="E1080" s="41"/>
      <c r="F1080" s="41"/>
      <c r="G1080" s="41"/>
    </row>
    <row r="1081" spans="5:7" s="39" customFormat="1" x14ac:dyDescent="0.3">
      <c r="E1081" s="41"/>
      <c r="F1081" s="41"/>
      <c r="G1081" s="41"/>
    </row>
    <row r="1082" spans="5:7" s="39" customFormat="1" x14ac:dyDescent="0.3">
      <c r="E1082" s="41"/>
      <c r="F1082" s="41"/>
      <c r="G1082" s="41"/>
    </row>
    <row r="1083" spans="5:7" s="39" customFormat="1" x14ac:dyDescent="0.3">
      <c r="E1083" s="41"/>
      <c r="F1083" s="41"/>
      <c r="G1083" s="41"/>
    </row>
    <row r="1084" spans="5:7" s="39" customFormat="1" x14ac:dyDescent="0.3">
      <c r="E1084" s="41"/>
      <c r="F1084" s="41"/>
      <c r="G1084" s="41"/>
    </row>
    <row r="1085" spans="5:7" s="39" customFormat="1" x14ac:dyDescent="0.3">
      <c r="E1085" s="41"/>
      <c r="F1085" s="41"/>
      <c r="G1085" s="41"/>
    </row>
    <row r="1086" spans="5:7" s="39" customFormat="1" x14ac:dyDescent="0.3">
      <c r="E1086" s="41"/>
      <c r="F1086" s="41"/>
      <c r="G1086" s="41"/>
    </row>
    <row r="1087" spans="5:7" s="39" customFormat="1" x14ac:dyDescent="0.3">
      <c r="E1087" s="41"/>
      <c r="F1087" s="41"/>
      <c r="G1087" s="41"/>
    </row>
    <row r="1088" spans="5:7" s="39" customFormat="1" x14ac:dyDescent="0.3">
      <c r="E1088" s="41"/>
      <c r="F1088" s="41"/>
      <c r="G1088" s="41"/>
    </row>
    <row r="1089" spans="5:7" s="39" customFormat="1" x14ac:dyDescent="0.3">
      <c r="E1089" s="41"/>
      <c r="F1089" s="41"/>
      <c r="G1089" s="41"/>
    </row>
    <row r="1090" spans="5:7" s="39" customFormat="1" x14ac:dyDescent="0.3">
      <c r="E1090" s="41"/>
      <c r="F1090" s="41"/>
      <c r="G1090" s="41"/>
    </row>
    <row r="1091" spans="5:7" s="39" customFormat="1" x14ac:dyDescent="0.3">
      <c r="E1091" s="41"/>
      <c r="F1091" s="41"/>
      <c r="G1091" s="41"/>
    </row>
    <row r="1092" spans="5:7" s="39" customFormat="1" x14ac:dyDescent="0.3">
      <c r="E1092" s="41"/>
      <c r="F1092" s="41"/>
      <c r="G1092" s="41"/>
    </row>
    <row r="1093" spans="5:7" s="39" customFormat="1" x14ac:dyDescent="0.3">
      <c r="E1093" s="41"/>
      <c r="F1093" s="41"/>
      <c r="G1093" s="41"/>
    </row>
    <row r="1094" spans="5:7" s="39" customFormat="1" x14ac:dyDescent="0.3">
      <c r="E1094" s="41"/>
      <c r="F1094" s="41"/>
      <c r="G1094" s="41"/>
    </row>
    <row r="1095" spans="5:7" s="39" customFormat="1" x14ac:dyDescent="0.3">
      <c r="E1095" s="41"/>
      <c r="F1095" s="41"/>
      <c r="G1095" s="41"/>
    </row>
    <row r="1096" spans="5:7" s="39" customFormat="1" x14ac:dyDescent="0.3">
      <c r="E1096" s="41"/>
      <c r="F1096" s="41"/>
      <c r="G1096" s="41"/>
    </row>
    <row r="1097" spans="5:7" s="39" customFormat="1" x14ac:dyDescent="0.3">
      <c r="E1097" s="41"/>
      <c r="F1097" s="41"/>
      <c r="G1097" s="41"/>
    </row>
    <row r="1098" spans="5:7" s="39" customFormat="1" x14ac:dyDescent="0.3">
      <c r="E1098" s="41"/>
      <c r="F1098" s="41"/>
      <c r="G1098" s="41"/>
    </row>
    <row r="1099" spans="5:7" s="39" customFormat="1" x14ac:dyDescent="0.3">
      <c r="E1099" s="41"/>
      <c r="F1099" s="41"/>
      <c r="G1099" s="41"/>
    </row>
    <row r="1100" spans="5:7" s="39" customFormat="1" x14ac:dyDescent="0.3">
      <c r="E1100" s="41"/>
      <c r="F1100" s="41"/>
      <c r="G1100" s="41"/>
    </row>
    <row r="1101" spans="5:7" s="39" customFormat="1" x14ac:dyDescent="0.3">
      <c r="E1101" s="41"/>
      <c r="F1101" s="41"/>
      <c r="G1101" s="41"/>
    </row>
    <row r="1102" spans="5:7" s="39" customFormat="1" x14ac:dyDescent="0.3">
      <c r="E1102" s="41"/>
      <c r="F1102" s="41"/>
      <c r="G1102" s="41"/>
    </row>
    <row r="1103" spans="5:7" s="39" customFormat="1" x14ac:dyDescent="0.3">
      <c r="E1103" s="41"/>
      <c r="F1103" s="41"/>
      <c r="G1103" s="41"/>
    </row>
    <row r="1104" spans="5:7" s="39" customFormat="1" x14ac:dyDescent="0.3">
      <c r="E1104" s="41"/>
      <c r="F1104" s="41"/>
      <c r="G1104" s="41"/>
    </row>
    <row r="1105" spans="5:7" s="39" customFormat="1" x14ac:dyDescent="0.3">
      <c r="E1105" s="41"/>
      <c r="F1105" s="41"/>
      <c r="G1105" s="41"/>
    </row>
    <row r="1106" spans="5:7" s="39" customFormat="1" x14ac:dyDescent="0.3">
      <c r="E1106" s="41"/>
      <c r="F1106" s="41"/>
      <c r="G1106" s="41"/>
    </row>
    <row r="1107" spans="5:7" s="39" customFormat="1" x14ac:dyDescent="0.3">
      <c r="E1107" s="41"/>
      <c r="F1107" s="41"/>
      <c r="G1107" s="41"/>
    </row>
    <row r="1108" spans="5:7" s="39" customFormat="1" x14ac:dyDescent="0.3">
      <c r="E1108" s="41"/>
      <c r="F1108" s="41"/>
      <c r="G1108" s="41"/>
    </row>
    <row r="1109" spans="5:7" s="39" customFormat="1" x14ac:dyDescent="0.3">
      <c r="E1109" s="41"/>
      <c r="F1109" s="41"/>
      <c r="G1109" s="41"/>
    </row>
    <row r="1110" spans="5:7" s="39" customFormat="1" x14ac:dyDescent="0.3">
      <c r="E1110" s="41"/>
      <c r="F1110" s="41"/>
      <c r="G1110" s="41"/>
    </row>
    <row r="1111" spans="5:7" s="39" customFormat="1" x14ac:dyDescent="0.3">
      <c r="E1111" s="41"/>
      <c r="F1111" s="41"/>
      <c r="G1111" s="41"/>
    </row>
    <row r="1112" spans="5:7" s="39" customFormat="1" x14ac:dyDescent="0.3">
      <c r="E1112" s="41"/>
      <c r="F1112" s="41"/>
      <c r="G1112" s="41"/>
    </row>
    <row r="1113" spans="5:7" s="39" customFormat="1" x14ac:dyDescent="0.3">
      <c r="E1113" s="41"/>
      <c r="F1113" s="41"/>
      <c r="G1113" s="41"/>
    </row>
    <row r="1114" spans="5:7" s="39" customFormat="1" x14ac:dyDescent="0.3">
      <c r="E1114" s="41"/>
      <c r="F1114" s="41"/>
      <c r="G1114" s="41"/>
    </row>
    <row r="1115" spans="5:7" s="39" customFormat="1" x14ac:dyDescent="0.3">
      <c r="E1115" s="41"/>
      <c r="F1115" s="41"/>
      <c r="G1115" s="41"/>
    </row>
    <row r="1116" spans="5:7" s="39" customFormat="1" x14ac:dyDescent="0.3">
      <c r="E1116" s="41"/>
      <c r="F1116" s="41"/>
      <c r="G1116" s="41"/>
    </row>
    <row r="1117" spans="5:7" s="39" customFormat="1" x14ac:dyDescent="0.3">
      <c r="E1117" s="41"/>
      <c r="F1117" s="41"/>
      <c r="G1117" s="41"/>
    </row>
    <row r="1118" spans="5:7" s="39" customFormat="1" x14ac:dyDescent="0.3">
      <c r="E1118" s="41"/>
      <c r="F1118" s="41"/>
      <c r="G1118" s="41"/>
    </row>
    <row r="1119" spans="5:7" s="39" customFormat="1" x14ac:dyDescent="0.3">
      <c r="E1119" s="41"/>
      <c r="F1119" s="41"/>
      <c r="G1119" s="41"/>
    </row>
    <row r="1120" spans="5:7" s="39" customFormat="1" x14ac:dyDescent="0.3">
      <c r="E1120" s="41"/>
      <c r="F1120" s="41"/>
      <c r="G1120" s="41"/>
    </row>
    <row r="1121" spans="5:7" s="39" customFormat="1" x14ac:dyDescent="0.3">
      <c r="E1121" s="41"/>
      <c r="F1121" s="41"/>
      <c r="G1121" s="41"/>
    </row>
    <row r="1122" spans="5:7" s="39" customFormat="1" x14ac:dyDescent="0.3">
      <c r="E1122" s="41"/>
      <c r="F1122" s="41"/>
      <c r="G1122" s="41"/>
    </row>
    <row r="1123" spans="5:7" s="39" customFormat="1" x14ac:dyDescent="0.3">
      <c r="E1123" s="41"/>
      <c r="F1123" s="41"/>
      <c r="G1123" s="41"/>
    </row>
    <row r="1124" spans="5:7" s="39" customFormat="1" x14ac:dyDescent="0.3">
      <c r="E1124" s="41"/>
      <c r="F1124" s="41"/>
      <c r="G1124" s="41"/>
    </row>
    <row r="1125" spans="5:7" s="39" customFormat="1" x14ac:dyDescent="0.3">
      <c r="E1125" s="41"/>
      <c r="F1125" s="41"/>
      <c r="G1125" s="41"/>
    </row>
    <row r="1126" spans="5:7" s="39" customFormat="1" x14ac:dyDescent="0.3">
      <c r="E1126" s="41"/>
      <c r="F1126" s="41"/>
      <c r="G1126" s="41"/>
    </row>
    <row r="1127" spans="5:7" s="39" customFormat="1" x14ac:dyDescent="0.3">
      <c r="E1127" s="41"/>
      <c r="F1127" s="41"/>
      <c r="G1127" s="41"/>
    </row>
    <row r="1128" spans="5:7" s="39" customFormat="1" x14ac:dyDescent="0.3">
      <c r="E1128" s="41"/>
      <c r="F1128" s="41"/>
      <c r="G1128" s="41"/>
    </row>
    <row r="1129" spans="5:7" s="39" customFormat="1" x14ac:dyDescent="0.3">
      <c r="E1129" s="41"/>
      <c r="F1129" s="41"/>
      <c r="G1129" s="41"/>
    </row>
    <row r="1130" spans="5:7" s="39" customFormat="1" x14ac:dyDescent="0.3">
      <c r="E1130" s="41"/>
      <c r="F1130" s="41"/>
      <c r="G1130" s="41"/>
    </row>
    <row r="1131" spans="5:7" s="39" customFormat="1" x14ac:dyDescent="0.3">
      <c r="E1131" s="41"/>
      <c r="F1131" s="41"/>
      <c r="G1131" s="41"/>
    </row>
    <row r="1132" spans="5:7" s="39" customFormat="1" x14ac:dyDescent="0.3">
      <c r="E1132" s="41"/>
      <c r="F1132" s="41"/>
      <c r="G1132" s="41"/>
    </row>
    <row r="1133" spans="5:7" s="39" customFormat="1" x14ac:dyDescent="0.3">
      <c r="E1133" s="41"/>
      <c r="F1133" s="41"/>
      <c r="G1133" s="41"/>
    </row>
    <row r="1134" spans="5:7" s="39" customFormat="1" x14ac:dyDescent="0.3">
      <c r="E1134" s="41"/>
      <c r="F1134" s="41"/>
      <c r="G1134" s="41"/>
    </row>
    <row r="1135" spans="5:7" s="39" customFormat="1" x14ac:dyDescent="0.3">
      <c r="E1135" s="41"/>
      <c r="F1135" s="41"/>
      <c r="G1135" s="41"/>
    </row>
    <row r="1136" spans="5:7" s="39" customFormat="1" x14ac:dyDescent="0.3">
      <c r="E1136" s="41"/>
      <c r="F1136" s="41"/>
      <c r="G1136" s="41"/>
    </row>
    <row r="1137" spans="5:7" s="39" customFormat="1" x14ac:dyDescent="0.3">
      <c r="E1137" s="41"/>
      <c r="F1137" s="41"/>
      <c r="G1137" s="41"/>
    </row>
    <row r="1138" spans="5:7" s="39" customFormat="1" x14ac:dyDescent="0.3">
      <c r="E1138" s="41"/>
      <c r="F1138" s="41"/>
      <c r="G1138" s="41"/>
    </row>
    <row r="1139" spans="5:7" s="39" customFormat="1" x14ac:dyDescent="0.3">
      <c r="E1139" s="41"/>
      <c r="F1139" s="41"/>
      <c r="G1139" s="41"/>
    </row>
    <row r="1140" spans="5:7" s="39" customFormat="1" x14ac:dyDescent="0.3">
      <c r="E1140" s="41"/>
      <c r="F1140" s="41"/>
      <c r="G1140" s="41"/>
    </row>
    <row r="1141" spans="5:7" s="39" customFormat="1" x14ac:dyDescent="0.3">
      <c r="E1141" s="41"/>
      <c r="F1141" s="41"/>
      <c r="G1141" s="41"/>
    </row>
    <row r="1142" spans="5:7" s="39" customFormat="1" x14ac:dyDescent="0.3">
      <c r="E1142" s="41"/>
      <c r="F1142" s="41"/>
      <c r="G1142" s="41"/>
    </row>
    <row r="1143" spans="5:7" s="39" customFormat="1" x14ac:dyDescent="0.3">
      <c r="E1143" s="41"/>
      <c r="F1143" s="41"/>
      <c r="G1143" s="41"/>
    </row>
    <row r="1144" spans="5:7" s="39" customFormat="1" x14ac:dyDescent="0.3">
      <c r="E1144" s="41"/>
      <c r="F1144" s="41"/>
      <c r="G1144" s="41"/>
    </row>
    <row r="1145" spans="5:7" s="39" customFormat="1" x14ac:dyDescent="0.3">
      <c r="E1145" s="41"/>
      <c r="F1145" s="41"/>
      <c r="G1145" s="41"/>
    </row>
    <row r="1146" spans="5:7" s="39" customFormat="1" x14ac:dyDescent="0.3">
      <c r="E1146" s="41"/>
      <c r="F1146" s="41"/>
      <c r="G1146" s="41"/>
    </row>
    <row r="1147" spans="5:7" s="39" customFormat="1" x14ac:dyDescent="0.3">
      <c r="E1147" s="41"/>
      <c r="F1147" s="41"/>
      <c r="G1147" s="41"/>
    </row>
    <row r="1148" spans="5:7" s="39" customFormat="1" x14ac:dyDescent="0.3">
      <c r="E1148" s="41"/>
      <c r="F1148" s="41"/>
      <c r="G1148" s="41"/>
    </row>
    <row r="1149" spans="5:7" s="39" customFormat="1" x14ac:dyDescent="0.3">
      <c r="E1149" s="41"/>
      <c r="F1149" s="41"/>
      <c r="G1149" s="41"/>
    </row>
    <row r="1150" spans="5:7" s="39" customFormat="1" x14ac:dyDescent="0.3">
      <c r="E1150" s="41"/>
      <c r="F1150" s="41"/>
      <c r="G1150" s="41"/>
    </row>
    <row r="1151" spans="5:7" s="39" customFormat="1" x14ac:dyDescent="0.3">
      <c r="E1151" s="41"/>
      <c r="F1151" s="41"/>
      <c r="G1151" s="41"/>
    </row>
    <row r="1152" spans="5:7" s="39" customFormat="1" x14ac:dyDescent="0.3">
      <c r="E1152" s="41"/>
      <c r="F1152" s="41"/>
      <c r="G1152" s="41"/>
    </row>
    <row r="1153" spans="5:7" s="39" customFormat="1" x14ac:dyDescent="0.3">
      <c r="E1153" s="41"/>
      <c r="F1153" s="41"/>
      <c r="G1153" s="41"/>
    </row>
    <row r="1154" spans="5:7" s="39" customFormat="1" x14ac:dyDescent="0.3">
      <c r="E1154" s="41"/>
      <c r="F1154" s="41"/>
      <c r="G1154" s="41"/>
    </row>
    <row r="1155" spans="5:7" s="39" customFormat="1" x14ac:dyDescent="0.3">
      <c r="E1155" s="41"/>
      <c r="F1155" s="41"/>
      <c r="G1155" s="41"/>
    </row>
    <row r="1156" spans="5:7" s="39" customFormat="1" x14ac:dyDescent="0.3">
      <c r="E1156" s="41"/>
      <c r="F1156" s="41"/>
      <c r="G1156" s="41"/>
    </row>
    <row r="1157" spans="5:7" s="39" customFormat="1" x14ac:dyDescent="0.3">
      <c r="E1157" s="41"/>
      <c r="F1157" s="41"/>
      <c r="G1157" s="41"/>
    </row>
    <row r="1158" spans="5:7" s="39" customFormat="1" x14ac:dyDescent="0.3">
      <c r="E1158" s="41"/>
      <c r="F1158" s="41"/>
      <c r="G1158" s="41"/>
    </row>
    <row r="1159" spans="5:7" s="39" customFormat="1" x14ac:dyDescent="0.3">
      <c r="E1159" s="41"/>
      <c r="F1159" s="41"/>
      <c r="G1159" s="41"/>
    </row>
    <row r="1160" spans="5:7" s="39" customFormat="1" x14ac:dyDescent="0.3">
      <c r="E1160" s="41"/>
      <c r="F1160" s="41"/>
      <c r="G1160" s="41"/>
    </row>
    <row r="1161" spans="5:7" s="39" customFormat="1" x14ac:dyDescent="0.3">
      <c r="E1161" s="41"/>
      <c r="F1161" s="41"/>
      <c r="G1161" s="41"/>
    </row>
    <row r="1162" spans="5:7" s="39" customFormat="1" x14ac:dyDescent="0.3">
      <c r="E1162" s="41"/>
      <c r="F1162" s="41"/>
      <c r="G1162" s="41"/>
    </row>
    <row r="1163" spans="5:7" s="39" customFormat="1" x14ac:dyDescent="0.3">
      <c r="E1163" s="41"/>
      <c r="F1163" s="41"/>
      <c r="G1163" s="41"/>
    </row>
    <row r="1164" spans="5:7" s="39" customFormat="1" x14ac:dyDescent="0.3">
      <c r="E1164" s="41"/>
      <c r="F1164" s="41"/>
      <c r="G1164" s="41"/>
    </row>
    <row r="1165" spans="5:7" s="39" customFormat="1" x14ac:dyDescent="0.3">
      <c r="E1165" s="41"/>
      <c r="F1165" s="41"/>
      <c r="G1165" s="41"/>
    </row>
    <row r="1166" spans="5:7" s="39" customFormat="1" x14ac:dyDescent="0.3">
      <c r="E1166" s="41"/>
      <c r="F1166" s="41"/>
      <c r="G1166" s="41"/>
    </row>
    <row r="1167" spans="5:7" s="39" customFormat="1" x14ac:dyDescent="0.3">
      <c r="E1167" s="41"/>
      <c r="F1167" s="41"/>
      <c r="G1167" s="41"/>
    </row>
    <row r="1168" spans="5:7" s="39" customFormat="1" x14ac:dyDescent="0.3">
      <c r="E1168" s="41"/>
      <c r="F1168" s="41"/>
      <c r="G1168" s="41"/>
    </row>
    <row r="1169" spans="5:7" s="39" customFormat="1" x14ac:dyDescent="0.3">
      <c r="E1169" s="41"/>
      <c r="F1169" s="41"/>
      <c r="G1169" s="41"/>
    </row>
    <row r="1170" spans="5:7" s="39" customFormat="1" x14ac:dyDescent="0.3">
      <c r="E1170" s="41"/>
      <c r="F1170" s="41"/>
      <c r="G1170" s="41"/>
    </row>
    <row r="1171" spans="5:7" s="39" customFormat="1" x14ac:dyDescent="0.3">
      <c r="E1171" s="41"/>
      <c r="F1171" s="41"/>
      <c r="G1171" s="41"/>
    </row>
    <row r="1172" spans="5:7" s="39" customFormat="1" x14ac:dyDescent="0.3">
      <c r="E1172" s="41"/>
      <c r="F1172" s="41"/>
      <c r="G1172" s="41"/>
    </row>
    <row r="1173" spans="5:7" s="39" customFormat="1" x14ac:dyDescent="0.3">
      <c r="E1173" s="41"/>
      <c r="F1173" s="41"/>
      <c r="G1173" s="41"/>
    </row>
    <row r="1174" spans="5:7" s="39" customFormat="1" x14ac:dyDescent="0.3">
      <c r="E1174" s="41"/>
      <c r="F1174" s="41"/>
      <c r="G1174" s="41"/>
    </row>
    <row r="1175" spans="5:7" s="39" customFormat="1" x14ac:dyDescent="0.3">
      <c r="E1175" s="41"/>
      <c r="F1175" s="41"/>
      <c r="G1175" s="41"/>
    </row>
    <row r="1176" spans="5:7" s="39" customFormat="1" x14ac:dyDescent="0.3">
      <c r="E1176" s="41"/>
      <c r="F1176" s="41"/>
      <c r="G1176" s="41"/>
    </row>
    <row r="1177" spans="5:7" s="39" customFormat="1" x14ac:dyDescent="0.3">
      <c r="E1177" s="41"/>
      <c r="F1177" s="41"/>
      <c r="G1177" s="41"/>
    </row>
    <row r="1178" spans="5:7" s="39" customFormat="1" x14ac:dyDescent="0.3">
      <c r="E1178" s="41"/>
      <c r="F1178" s="41"/>
      <c r="G1178" s="41"/>
    </row>
    <row r="1179" spans="5:7" s="39" customFormat="1" x14ac:dyDescent="0.3">
      <c r="E1179" s="41"/>
      <c r="F1179" s="41"/>
      <c r="G1179" s="41"/>
    </row>
    <row r="1180" spans="5:7" s="39" customFormat="1" x14ac:dyDescent="0.3">
      <c r="E1180" s="41"/>
      <c r="F1180" s="41"/>
      <c r="G1180" s="41"/>
    </row>
    <row r="1181" spans="5:7" s="39" customFormat="1" x14ac:dyDescent="0.3">
      <c r="E1181" s="41"/>
      <c r="F1181" s="41"/>
      <c r="G1181" s="41"/>
    </row>
    <row r="1182" spans="5:7" s="39" customFormat="1" x14ac:dyDescent="0.3">
      <c r="E1182" s="41"/>
      <c r="F1182" s="41"/>
      <c r="G1182" s="41"/>
    </row>
    <row r="1183" spans="5:7" s="39" customFormat="1" x14ac:dyDescent="0.3">
      <c r="E1183" s="41"/>
      <c r="F1183" s="41"/>
      <c r="G1183" s="41"/>
    </row>
    <row r="1184" spans="5:7" s="39" customFormat="1" x14ac:dyDescent="0.3">
      <c r="E1184" s="41"/>
      <c r="F1184" s="41"/>
      <c r="G1184" s="41"/>
    </row>
    <row r="1185" spans="5:7" s="39" customFormat="1" x14ac:dyDescent="0.3">
      <c r="E1185" s="41"/>
      <c r="F1185" s="41"/>
      <c r="G1185" s="41"/>
    </row>
    <row r="1186" spans="5:7" s="39" customFormat="1" x14ac:dyDescent="0.3">
      <c r="E1186" s="41"/>
      <c r="F1186" s="41"/>
      <c r="G1186" s="41"/>
    </row>
    <row r="1187" spans="5:7" s="39" customFormat="1" x14ac:dyDescent="0.3">
      <c r="E1187" s="41"/>
      <c r="F1187" s="41"/>
      <c r="G1187" s="41"/>
    </row>
    <row r="1188" spans="5:7" s="39" customFormat="1" x14ac:dyDescent="0.3">
      <c r="E1188" s="41"/>
      <c r="F1188" s="41"/>
      <c r="G1188" s="41"/>
    </row>
    <row r="1189" spans="5:7" s="39" customFormat="1" x14ac:dyDescent="0.3">
      <c r="E1189" s="41"/>
      <c r="F1189" s="41"/>
      <c r="G1189" s="41"/>
    </row>
    <row r="1190" spans="5:7" s="39" customFormat="1" x14ac:dyDescent="0.3">
      <c r="E1190" s="41"/>
      <c r="F1190" s="41"/>
      <c r="G1190" s="41"/>
    </row>
    <row r="1191" spans="5:7" s="39" customFormat="1" x14ac:dyDescent="0.3">
      <c r="E1191" s="41"/>
      <c r="F1191" s="41"/>
      <c r="G1191" s="41"/>
    </row>
    <row r="1192" spans="5:7" s="39" customFormat="1" x14ac:dyDescent="0.3">
      <c r="E1192" s="41"/>
      <c r="F1192" s="41"/>
      <c r="G1192" s="41"/>
    </row>
    <row r="1193" spans="5:7" s="39" customFormat="1" x14ac:dyDescent="0.3">
      <c r="E1193" s="41"/>
      <c r="F1193" s="41"/>
      <c r="G1193" s="41"/>
    </row>
    <row r="1194" spans="5:7" s="39" customFormat="1" x14ac:dyDescent="0.3">
      <c r="E1194" s="41"/>
      <c r="F1194" s="41"/>
      <c r="G1194" s="41"/>
    </row>
    <row r="1195" spans="5:7" s="39" customFormat="1" x14ac:dyDescent="0.3">
      <c r="E1195" s="41"/>
      <c r="F1195" s="41"/>
      <c r="G1195" s="41"/>
    </row>
    <row r="1196" spans="5:7" s="39" customFormat="1" x14ac:dyDescent="0.3">
      <c r="E1196" s="41"/>
      <c r="F1196" s="41"/>
      <c r="G1196" s="41"/>
    </row>
    <row r="1197" spans="5:7" s="39" customFormat="1" x14ac:dyDescent="0.3">
      <c r="E1197" s="41"/>
      <c r="F1197" s="41"/>
      <c r="G1197" s="41"/>
    </row>
    <row r="1198" spans="5:7" s="39" customFormat="1" x14ac:dyDescent="0.3">
      <c r="E1198" s="41"/>
      <c r="F1198" s="41"/>
      <c r="G1198" s="41"/>
    </row>
    <row r="1199" spans="5:7" s="39" customFormat="1" x14ac:dyDescent="0.3">
      <c r="E1199" s="41"/>
      <c r="F1199" s="41"/>
      <c r="G1199" s="41"/>
    </row>
    <row r="1200" spans="5:7" s="39" customFormat="1" x14ac:dyDescent="0.3">
      <c r="E1200" s="41"/>
      <c r="F1200" s="41"/>
      <c r="G1200" s="41"/>
    </row>
    <row r="1201" spans="5:7" s="39" customFormat="1" x14ac:dyDescent="0.3">
      <c r="E1201" s="41"/>
      <c r="F1201" s="41"/>
      <c r="G1201" s="41"/>
    </row>
    <row r="1202" spans="5:7" s="39" customFormat="1" x14ac:dyDescent="0.3">
      <c r="E1202" s="41"/>
      <c r="F1202" s="41"/>
      <c r="G1202" s="41"/>
    </row>
    <row r="1203" spans="5:7" s="39" customFormat="1" x14ac:dyDescent="0.3">
      <c r="E1203" s="41"/>
      <c r="F1203" s="41"/>
      <c r="G1203" s="41"/>
    </row>
    <row r="1204" spans="5:7" s="39" customFormat="1" x14ac:dyDescent="0.3">
      <c r="E1204" s="41"/>
      <c r="F1204" s="41"/>
      <c r="G1204" s="41"/>
    </row>
    <row r="1205" spans="5:7" s="39" customFormat="1" x14ac:dyDescent="0.3">
      <c r="E1205" s="41"/>
      <c r="F1205" s="41"/>
      <c r="G1205" s="41"/>
    </row>
    <row r="1206" spans="5:7" s="39" customFormat="1" x14ac:dyDescent="0.3">
      <c r="E1206" s="41"/>
      <c r="F1206" s="41"/>
      <c r="G1206" s="41"/>
    </row>
    <row r="1207" spans="5:7" s="39" customFormat="1" x14ac:dyDescent="0.3">
      <c r="E1207" s="41"/>
      <c r="F1207" s="41"/>
      <c r="G1207" s="41"/>
    </row>
    <row r="1208" spans="5:7" s="39" customFormat="1" x14ac:dyDescent="0.3">
      <c r="E1208" s="41"/>
      <c r="F1208" s="41"/>
      <c r="G1208" s="41"/>
    </row>
    <row r="1209" spans="5:7" s="39" customFormat="1" x14ac:dyDescent="0.3">
      <c r="E1209" s="41"/>
      <c r="F1209" s="41"/>
      <c r="G1209" s="41"/>
    </row>
    <row r="1210" spans="5:7" s="39" customFormat="1" x14ac:dyDescent="0.3">
      <c r="E1210" s="41"/>
      <c r="F1210" s="41"/>
      <c r="G1210" s="41"/>
    </row>
    <row r="1211" spans="5:7" s="39" customFormat="1" x14ac:dyDescent="0.3">
      <c r="E1211" s="41"/>
      <c r="F1211" s="41"/>
      <c r="G1211" s="41"/>
    </row>
    <row r="1212" spans="5:7" s="39" customFormat="1" x14ac:dyDescent="0.3">
      <c r="E1212" s="41"/>
      <c r="F1212" s="41"/>
      <c r="G1212" s="41"/>
    </row>
    <row r="1213" spans="5:7" s="39" customFormat="1" x14ac:dyDescent="0.3">
      <c r="E1213" s="41"/>
      <c r="F1213" s="41"/>
      <c r="G1213" s="41"/>
    </row>
    <row r="1214" spans="5:7" s="39" customFormat="1" x14ac:dyDescent="0.3">
      <c r="E1214" s="41"/>
      <c r="F1214" s="41"/>
      <c r="G1214" s="41"/>
    </row>
    <row r="1215" spans="5:7" s="39" customFormat="1" x14ac:dyDescent="0.3">
      <c r="E1215" s="41"/>
      <c r="F1215" s="41"/>
      <c r="G1215" s="41"/>
    </row>
    <row r="1216" spans="5:7" s="39" customFormat="1" x14ac:dyDescent="0.3">
      <c r="E1216" s="41"/>
      <c r="F1216" s="41"/>
      <c r="G1216" s="41"/>
    </row>
    <row r="1217" spans="5:7" s="39" customFormat="1" x14ac:dyDescent="0.3">
      <c r="E1217" s="41"/>
      <c r="F1217" s="41"/>
      <c r="G1217" s="41"/>
    </row>
    <row r="1218" spans="5:7" s="39" customFormat="1" x14ac:dyDescent="0.3">
      <c r="E1218" s="41"/>
      <c r="F1218" s="41"/>
      <c r="G1218" s="41"/>
    </row>
    <row r="1219" spans="5:7" s="39" customFormat="1" x14ac:dyDescent="0.3">
      <c r="E1219" s="41"/>
      <c r="F1219" s="41"/>
      <c r="G1219" s="41"/>
    </row>
    <row r="1220" spans="5:7" s="39" customFormat="1" x14ac:dyDescent="0.3">
      <c r="E1220" s="41"/>
      <c r="F1220" s="41"/>
      <c r="G1220" s="41"/>
    </row>
    <row r="1221" spans="5:7" s="39" customFormat="1" x14ac:dyDescent="0.3">
      <c r="E1221" s="41"/>
      <c r="F1221" s="41"/>
      <c r="G1221" s="41"/>
    </row>
    <row r="1222" spans="5:7" s="39" customFormat="1" x14ac:dyDescent="0.3">
      <c r="E1222" s="41"/>
      <c r="F1222" s="41"/>
      <c r="G1222" s="41"/>
    </row>
    <row r="1223" spans="5:7" s="39" customFormat="1" x14ac:dyDescent="0.3">
      <c r="E1223" s="41"/>
      <c r="F1223" s="41"/>
      <c r="G1223" s="41"/>
    </row>
    <row r="1224" spans="5:7" s="39" customFormat="1" x14ac:dyDescent="0.3">
      <c r="E1224" s="41"/>
      <c r="F1224" s="41"/>
      <c r="G1224" s="41"/>
    </row>
    <row r="1225" spans="5:7" s="39" customFormat="1" x14ac:dyDescent="0.3">
      <c r="E1225" s="41"/>
      <c r="F1225" s="41"/>
      <c r="G1225" s="41"/>
    </row>
    <row r="1226" spans="5:7" s="39" customFormat="1" x14ac:dyDescent="0.3">
      <c r="E1226" s="41"/>
      <c r="F1226" s="41"/>
      <c r="G1226" s="41"/>
    </row>
    <row r="1227" spans="5:7" s="39" customFormat="1" x14ac:dyDescent="0.3">
      <c r="E1227" s="41"/>
      <c r="F1227" s="41"/>
      <c r="G1227" s="41"/>
    </row>
    <row r="1228" spans="5:7" s="39" customFormat="1" x14ac:dyDescent="0.3">
      <c r="E1228" s="41"/>
      <c r="F1228" s="41"/>
      <c r="G1228" s="41"/>
    </row>
    <row r="1229" spans="5:7" s="39" customFormat="1" x14ac:dyDescent="0.3">
      <c r="E1229" s="41"/>
      <c r="F1229" s="41"/>
      <c r="G1229" s="41"/>
    </row>
    <row r="1230" spans="5:7" s="39" customFormat="1" x14ac:dyDescent="0.3">
      <c r="E1230" s="41"/>
      <c r="F1230" s="41"/>
      <c r="G1230" s="41"/>
    </row>
    <row r="1231" spans="5:7" s="39" customFormat="1" x14ac:dyDescent="0.3">
      <c r="E1231" s="41"/>
      <c r="F1231" s="41"/>
      <c r="G1231" s="41"/>
    </row>
    <row r="1232" spans="5:7" s="39" customFormat="1" x14ac:dyDescent="0.3">
      <c r="E1232" s="41"/>
      <c r="F1232" s="41"/>
      <c r="G1232" s="41"/>
    </row>
    <row r="1233" spans="5:7" s="39" customFormat="1" x14ac:dyDescent="0.3">
      <c r="E1233" s="41"/>
      <c r="F1233" s="41"/>
      <c r="G1233" s="41"/>
    </row>
    <row r="1234" spans="5:7" s="39" customFormat="1" x14ac:dyDescent="0.3">
      <c r="E1234" s="41"/>
      <c r="F1234" s="41"/>
      <c r="G1234" s="41"/>
    </row>
    <row r="1235" spans="5:7" s="39" customFormat="1" x14ac:dyDescent="0.3">
      <c r="E1235" s="41"/>
      <c r="F1235" s="41"/>
      <c r="G1235" s="41"/>
    </row>
    <row r="1236" spans="5:7" s="39" customFormat="1" x14ac:dyDescent="0.3">
      <c r="E1236" s="41"/>
      <c r="F1236" s="41"/>
      <c r="G1236" s="41"/>
    </row>
    <row r="1237" spans="5:7" s="39" customFormat="1" x14ac:dyDescent="0.3">
      <c r="E1237" s="41"/>
      <c r="F1237" s="41"/>
      <c r="G1237" s="41"/>
    </row>
    <row r="1238" spans="5:7" s="39" customFormat="1" x14ac:dyDescent="0.3">
      <c r="E1238" s="41"/>
      <c r="F1238" s="41"/>
      <c r="G1238" s="41"/>
    </row>
    <row r="1239" spans="5:7" s="39" customFormat="1" x14ac:dyDescent="0.3">
      <c r="E1239" s="41"/>
      <c r="F1239" s="41"/>
      <c r="G1239" s="41"/>
    </row>
    <row r="1240" spans="5:7" s="39" customFormat="1" x14ac:dyDescent="0.3">
      <c r="E1240" s="41"/>
      <c r="F1240" s="41"/>
      <c r="G1240" s="41"/>
    </row>
    <row r="1241" spans="5:7" s="39" customFormat="1" x14ac:dyDescent="0.3">
      <c r="E1241" s="41"/>
      <c r="F1241" s="41"/>
      <c r="G1241" s="41"/>
    </row>
    <row r="1242" spans="5:7" s="39" customFormat="1" x14ac:dyDescent="0.3">
      <c r="E1242" s="41"/>
      <c r="F1242" s="41"/>
      <c r="G1242" s="41"/>
    </row>
    <row r="1243" spans="5:7" s="39" customFormat="1" x14ac:dyDescent="0.3">
      <c r="E1243" s="41"/>
      <c r="F1243" s="41"/>
      <c r="G1243" s="41"/>
    </row>
    <row r="1244" spans="5:7" s="39" customFormat="1" x14ac:dyDescent="0.3">
      <c r="E1244" s="41"/>
      <c r="F1244" s="41"/>
      <c r="G1244" s="41"/>
    </row>
    <row r="1245" spans="5:7" s="39" customFormat="1" x14ac:dyDescent="0.3">
      <c r="E1245" s="41"/>
      <c r="F1245" s="41"/>
      <c r="G1245" s="41"/>
    </row>
    <row r="1246" spans="5:7" s="39" customFormat="1" x14ac:dyDescent="0.3">
      <c r="E1246" s="41"/>
      <c r="F1246" s="41"/>
      <c r="G1246" s="41"/>
    </row>
    <row r="1247" spans="5:7" s="39" customFormat="1" x14ac:dyDescent="0.3">
      <c r="E1247" s="41"/>
      <c r="F1247" s="41"/>
      <c r="G1247" s="41"/>
    </row>
    <row r="1248" spans="5:7" s="39" customFormat="1" x14ac:dyDescent="0.3">
      <c r="E1248" s="41"/>
      <c r="F1248" s="41"/>
      <c r="G1248" s="41"/>
    </row>
    <row r="1249" spans="5:7" s="39" customFormat="1" x14ac:dyDescent="0.3">
      <c r="E1249" s="41"/>
      <c r="F1249" s="41"/>
      <c r="G1249" s="41"/>
    </row>
    <row r="1250" spans="5:7" s="39" customFormat="1" x14ac:dyDescent="0.3">
      <c r="E1250" s="41"/>
      <c r="F1250" s="41"/>
      <c r="G1250" s="41"/>
    </row>
    <row r="1251" spans="5:7" s="39" customFormat="1" x14ac:dyDescent="0.3">
      <c r="E1251" s="41"/>
      <c r="F1251" s="41"/>
      <c r="G1251" s="41"/>
    </row>
    <row r="1252" spans="5:7" s="39" customFormat="1" x14ac:dyDescent="0.3">
      <c r="E1252" s="41"/>
      <c r="F1252" s="41"/>
      <c r="G1252" s="41"/>
    </row>
    <row r="1253" spans="5:7" s="39" customFormat="1" x14ac:dyDescent="0.3">
      <c r="E1253" s="41"/>
      <c r="F1253" s="41"/>
      <c r="G1253" s="41"/>
    </row>
    <row r="1254" spans="5:7" s="39" customFormat="1" x14ac:dyDescent="0.3">
      <c r="E1254" s="41"/>
      <c r="F1254" s="41"/>
      <c r="G1254" s="41"/>
    </row>
    <row r="1255" spans="5:7" s="39" customFormat="1" x14ac:dyDescent="0.3">
      <c r="E1255" s="41"/>
      <c r="F1255" s="41"/>
      <c r="G1255" s="41"/>
    </row>
    <row r="1256" spans="5:7" s="39" customFormat="1" x14ac:dyDescent="0.3">
      <c r="E1256" s="41"/>
      <c r="F1256" s="41"/>
      <c r="G1256" s="41"/>
    </row>
    <row r="1257" spans="5:7" s="39" customFormat="1" x14ac:dyDescent="0.3">
      <c r="E1257" s="41"/>
      <c r="F1257" s="41"/>
      <c r="G1257" s="41"/>
    </row>
    <row r="1258" spans="5:7" s="39" customFormat="1" x14ac:dyDescent="0.3">
      <c r="E1258" s="41"/>
      <c r="F1258" s="41"/>
      <c r="G1258" s="41"/>
    </row>
    <row r="1259" spans="5:7" s="39" customFormat="1" x14ac:dyDescent="0.3">
      <c r="E1259" s="41"/>
      <c r="F1259" s="41"/>
      <c r="G1259" s="41"/>
    </row>
    <row r="1260" spans="5:7" s="39" customFormat="1" x14ac:dyDescent="0.3">
      <c r="E1260" s="41"/>
      <c r="F1260" s="41"/>
      <c r="G1260" s="41"/>
    </row>
    <row r="1261" spans="5:7" s="39" customFormat="1" x14ac:dyDescent="0.3">
      <c r="E1261" s="41"/>
      <c r="F1261" s="41"/>
      <c r="G1261" s="41"/>
    </row>
    <row r="1262" spans="5:7" s="39" customFormat="1" x14ac:dyDescent="0.3">
      <c r="E1262" s="41"/>
      <c r="F1262" s="41"/>
      <c r="G1262" s="41"/>
    </row>
    <row r="1263" spans="5:7" s="39" customFormat="1" x14ac:dyDescent="0.3">
      <c r="E1263" s="41"/>
      <c r="F1263" s="41"/>
      <c r="G1263" s="41"/>
    </row>
    <row r="1264" spans="5:7" s="39" customFormat="1" x14ac:dyDescent="0.3">
      <c r="E1264" s="41"/>
      <c r="F1264" s="41"/>
      <c r="G1264" s="41"/>
    </row>
    <row r="1265" spans="5:7" s="39" customFormat="1" x14ac:dyDescent="0.3">
      <c r="E1265" s="41"/>
      <c r="F1265" s="41"/>
      <c r="G1265" s="41"/>
    </row>
    <row r="1266" spans="5:7" s="39" customFormat="1" x14ac:dyDescent="0.3">
      <c r="E1266" s="41"/>
      <c r="F1266" s="41"/>
      <c r="G1266" s="41"/>
    </row>
    <row r="1267" spans="5:7" s="39" customFormat="1" x14ac:dyDescent="0.3">
      <c r="E1267" s="41"/>
      <c r="F1267" s="41"/>
      <c r="G1267" s="41"/>
    </row>
    <row r="1268" spans="5:7" s="39" customFormat="1" x14ac:dyDescent="0.3">
      <c r="E1268" s="41"/>
      <c r="F1268" s="41"/>
      <c r="G1268" s="41"/>
    </row>
    <row r="1269" spans="5:7" s="39" customFormat="1" x14ac:dyDescent="0.3">
      <c r="E1269" s="41"/>
      <c r="F1269" s="41"/>
      <c r="G1269" s="41"/>
    </row>
    <row r="1270" spans="5:7" s="39" customFormat="1" x14ac:dyDescent="0.3">
      <c r="E1270" s="41"/>
      <c r="F1270" s="41"/>
      <c r="G1270" s="41"/>
    </row>
    <row r="1271" spans="5:7" s="39" customFormat="1" x14ac:dyDescent="0.3">
      <c r="E1271" s="41"/>
      <c r="F1271" s="41"/>
      <c r="G1271" s="41"/>
    </row>
    <row r="1272" spans="5:7" s="39" customFormat="1" x14ac:dyDescent="0.3">
      <c r="E1272" s="41"/>
      <c r="F1272" s="41"/>
      <c r="G1272" s="41"/>
    </row>
    <row r="1273" spans="5:7" s="39" customFormat="1" x14ac:dyDescent="0.3">
      <c r="E1273" s="41"/>
      <c r="F1273" s="41"/>
      <c r="G1273" s="41"/>
    </row>
    <row r="1274" spans="5:7" s="39" customFormat="1" x14ac:dyDescent="0.3">
      <c r="E1274" s="41"/>
      <c r="F1274" s="41"/>
      <c r="G1274" s="41"/>
    </row>
    <row r="1275" spans="5:7" s="39" customFormat="1" x14ac:dyDescent="0.3">
      <c r="E1275" s="41"/>
      <c r="F1275" s="41"/>
      <c r="G1275" s="41"/>
    </row>
    <row r="1276" spans="5:7" s="39" customFormat="1" x14ac:dyDescent="0.3">
      <c r="E1276" s="41"/>
      <c r="F1276" s="41"/>
      <c r="G1276" s="41"/>
    </row>
    <row r="1277" spans="5:7" s="39" customFormat="1" x14ac:dyDescent="0.3">
      <c r="E1277" s="41"/>
      <c r="F1277" s="41"/>
      <c r="G1277" s="41"/>
    </row>
    <row r="1278" spans="5:7" s="39" customFormat="1" x14ac:dyDescent="0.3">
      <c r="E1278" s="41"/>
      <c r="F1278" s="41"/>
      <c r="G1278" s="41"/>
    </row>
    <row r="1279" spans="5:7" s="39" customFormat="1" x14ac:dyDescent="0.3">
      <c r="E1279" s="41"/>
      <c r="F1279" s="41"/>
      <c r="G1279" s="41"/>
    </row>
    <row r="1280" spans="5:7" s="39" customFormat="1" x14ac:dyDescent="0.3">
      <c r="E1280" s="41"/>
      <c r="F1280" s="41"/>
      <c r="G1280" s="41"/>
    </row>
    <row r="1281" spans="5:7" s="39" customFormat="1" x14ac:dyDescent="0.3">
      <c r="E1281" s="41"/>
      <c r="F1281" s="41"/>
      <c r="G1281" s="41"/>
    </row>
    <row r="1282" spans="5:7" s="39" customFormat="1" x14ac:dyDescent="0.3">
      <c r="E1282" s="41"/>
      <c r="F1282" s="41"/>
      <c r="G1282" s="41"/>
    </row>
    <row r="1283" spans="5:7" s="39" customFormat="1" x14ac:dyDescent="0.3">
      <c r="E1283" s="41"/>
      <c r="F1283" s="41"/>
      <c r="G1283" s="41"/>
    </row>
    <row r="1284" spans="5:7" s="39" customFormat="1" x14ac:dyDescent="0.3">
      <c r="E1284" s="41"/>
      <c r="F1284" s="41"/>
      <c r="G1284" s="41"/>
    </row>
    <row r="1285" spans="5:7" s="39" customFormat="1" x14ac:dyDescent="0.3">
      <c r="E1285" s="41"/>
      <c r="F1285" s="41"/>
      <c r="G1285" s="41"/>
    </row>
    <row r="1286" spans="5:7" s="39" customFormat="1" x14ac:dyDescent="0.3">
      <c r="E1286" s="41"/>
      <c r="F1286" s="41"/>
      <c r="G1286" s="41"/>
    </row>
    <row r="1287" spans="5:7" s="39" customFormat="1" x14ac:dyDescent="0.3">
      <c r="E1287" s="41"/>
      <c r="F1287" s="41"/>
      <c r="G1287" s="41"/>
    </row>
    <row r="1288" spans="5:7" s="39" customFormat="1" x14ac:dyDescent="0.3">
      <c r="E1288" s="41"/>
      <c r="F1288" s="41"/>
      <c r="G1288" s="41"/>
    </row>
    <row r="1289" spans="5:7" s="39" customFormat="1" x14ac:dyDescent="0.3">
      <c r="E1289" s="41"/>
      <c r="F1289" s="41"/>
      <c r="G1289" s="41"/>
    </row>
    <row r="1290" spans="5:7" s="39" customFormat="1" x14ac:dyDescent="0.3">
      <c r="E1290" s="41"/>
      <c r="F1290" s="41"/>
      <c r="G1290" s="41"/>
    </row>
    <row r="1291" spans="5:7" s="39" customFormat="1" x14ac:dyDescent="0.3">
      <c r="E1291" s="41"/>
      <c r="F1291" s="41"/>
      <c r="G1291" s="41"/>
    </row>
    <row r="1292" spans="5:7" s="39" customFormat="1" x14ac:dyDescent="0.3">
      <c r="E1292" s="41"/>
      <c r="F1292" s="41"/>
      <c r="G1292" s="41"/>
    </row>
    <row r="1293" spans="5:7" s="39" customFormat="1" x14ac:dyDescent="0.3">
      <c r="E1293" s="41"/>
      <c r="F1293" s="41"/>
      <c r="G1293" s="41"/>
    </row>
    <row r="1294" spans="5:7" s="39" customFormat="1" x14ac:dyDescent="0.3">
      <c r="E1294" s="41"/>
      <c r="F1294" s="41"/>
      <c r="G1294" s="41"/>
    </row>
    <row r="1295" spans="5:7" s="39" customFormat="1" x14ac:dyDescent="0.3">
      <c r="E1295" s="41"/>
      <c r="F1295" s="41"/>
      <c r="G1295" s="41"/>
    </row>
    <row r="1296" spans="5:7" s="39" customFormat="1" x14ac:dyDescent="0.3">
      <c r="E1296" s="41"/>
      <c r="F1296" s="41"/>
      <c r="G1296" s="41"/>
    </row>
    <row r="1297" spans="5:7" s="39" customFormat="1" x14ac:dyDescent="0.3">
      <c r="E1297" s="41"/>
      <c r="F1297" s="41"/>
      <c r="G1297" s="41"/>
    </row>
    <row r="1298" spans="5:7" s="39" customFormat="1" x14ac:dyDescent="0.3">
      <c r="E1298" s="41"/>
      <c r="F1298" s="41"/>
      <c r="G1298" s="41"/>
    </row>
    <row r="1299" spans="5:7" s="39" customFormat="1" x14ac:dyDescent="0.3">
      <c r="E1299" s="41"/>
      <c r="F1299" s="41"/>
      <c r="G1299" s="41"/>
    </row>
    <row r="1300" spans="5:7" s="39" customFormat="1" x14ac:dyDescent="0.3">
      <c r="E1300" s="41"/>
      <c r="F1300" s="41"/>
      <c r="G1300" s="41"/>
    </row>
    <row r="1301" spans="5:7" s="39" customFormat="1" x14ac:dyDescent="0.3">
      <c r="E1301" s="41"/>
      <c r="F1301" s="41"/>
      <c r="G1301" s="41"/>
    </row>
    <row r="1302" spans="5:7" s="39" customFormat="1" x14ac:dyDescent="0.3">
      <c r="E1302" s="41"/>
      <c r="F1302" s="41"/>
      <c r="G1302" s="41"/>
    </row>
    <row r="1303" spans="5:7" s="39" customFormat="1" x14ac:dyDescent="0.3">
      <c r="E1303" s="41"/>
      <c r="F1303" s="41"/>
      <c r="G1303" s="41"/>
    </row>
    <row r="1304" spans="5:7" s="39" customFormat="1" x14ac:dyDescent="0.3">
      <c r="E1304" s="41"/>
      <c r="F1304" s="41"/>
      <c r="G1304" s="41"/>
    </row>
    <row r="1305" spans="5:7" s="39" customFormat="1" x14ac:dyDescent="0.3">
      <c r="E1305" s="41"/>
      <c r="F1305" s="41"/>
      <c r="G1305" s="41"/>
    </row>
    <row r="1306" spans="5:7" s="39" customFormat="1" x14ac:dyDescent="0.3">
      <c r="E1306" s="41"/>
      <c r="F1306" s="41"/>
      <c r="G1306" s="41"/>
    </row>
    <row r="1307" spans="5:7" s="39" customFormat="1" x14ac:dyDescent="0.3">
      <c r="E1307" s="41"/>
      <c r="F1307" s="41"/>
      <c r="G1307" s="41"/>
    </row>
    <row r="1308" spans="5:7" s="39" customFormat="1" x14ac:dyDescent="0.3">
      <c r="E1308" s="41"/>
      <c r="F1308" s="41"/>
      <c r="G1308" s="41"/>
    </row>
    <row r="1309" spans="5:7" s="39" customFormat="1" x14ac:dyDescent="0.3">
      <c r="E1309" s="41"/>
      <c r="F1309" s="41"/>
      <c r="G1309" s="41"/>
    </row>
    <row r="1310" spans="5:7" s="39" customFormat="1" x14ac:dyDescent="0.3">
      <c r="E1310" s="41"/>
      <c r="F1310" s="41"/>
      <c r="G1310" s="41"/>
    </row>
    <row r="1311" spans="5:7" s="39" customFormat="1" x14ac:dyDescent="0.3">
      <c r="E1311" s="41"/>
      <c r="F1311" s="41"/>
      <c r="G1311" s="41"/>
    </row>
    <row r="1312" spans="5:7" s="39" customFormat="1" x14ac:dyDescent="0.3">
      <c r="E1312" s="41"/>
      <c r="F1312" s="41"/>
      <c r="G1312" s="41"/>
    </row>
    <row r="1313" spans="5:7" s="39" customFormat="1" x14ac:dyDescent="0.3">
      <c r="E1313" s="41"/>
      <c r="F1313" s="41"/>
      <c r="G1313" s="41"/>
    </row>
    <row r="1314" spans="5:7" s="39" customFormat="1" x14ac:dyDescent="0.3">
      <c r="E1314" s="41"/>
      <c r="F1314" s="41"/>
      <c r="G1314" s="41"/>
    </row>
    <row r="1315" spans="5:7" s="39" customFormat="1" x14ac:dyDescent="0.3">
      <c r="E1315" s="41"/>
      <c r="F1315" s="41"/>
      <c r="G1315" s="41"/>
    </row>
    <row r="1316" spans="5:7" s="39" customFormat="1" x14ac:dyDescent="0.3">
      <c r="E1316" s="41"/>
      <c r="F1316" s="41"/>
      <c r="G1316" s="41"/>
    </row>
    <row r="1317" spans="5:7" s="39" customFormat="1" x14ac:dyDescent="0.3">
      <c r="E1317" s="41"/>
      <c r="F1317" s="41"/>
      <c r="G1317" s="41"/>
    </row>
    <row r="1318" spans="5:7" s="39" customFormat="1" x14ac:dyDescent="0.3">
      <c r="E1318" s="41"/>
      <c r="F1318" s="41"/>
      <c r="G1318" s="41"/>
    </row>
    <row r="1319" spans="5:7" s="39" customFormat="1" x14ac:dyDescent="0.3">
      <c r="E1319" s="41"/>
      <c r="F1319" s="41"/>
      <c r="G1319" s="41"/>
    </row>
    <row r="1320" spans="5:7" s="39" customFormat="1" x14ac:dyDescent="0.3">
      <c r="E1320" s="41"/>
      <c r="F1320" s="41"/>
      <c r="G1320" s="41"/>
    </row>
    <row r="1321" spans="5:7" s="39" customFormat="1" x14ac:dyDescent="0.3">
      <c r="E1321" s="41"/>
      <c r="F1321" s="41"/>
      <c r="G1321" s="41"/>
    </row>
    <row r="1322" spans="5:7" s="39" customFormat="1" x14ac:dyDescent="0.3">
      <c r="E1322" s="41"/>
      <c r="F1322" s="41"/>
      <c r="G1322" s="41"/>
    </row>
    <row r="1323" spans="5:7" s="39" customFormat="1" x14ac:dyDescent="0.3">
      <c r="E1323" s="41"/>
      <c r="F1323" s="41"/>
      <c r="G1323" s="41"/>
    </row>
    <row r="1324" spans="5:7" s="39" customFormat="1" x14ac:dyDescent="0.3">
      <c r="E1324" s="41"/>
      <c r="F1324" s="41"/>
      <c r="G1324" s="41"/>
    </row>
    <row r="1325" spans="5:7" s="39" customFormat="1" x14ac:dyDescent="0.3">
      <c r="E1325" s="41"/>
      <c r="F1325" s="41"/>
      <c r="G1325" s="41"/>
    </row>
    <row r="1326" spans="5:7" s="39" customFormat="1" x14ac:dyDescent="0.3">
      <c r="E1326" s="41"/>
      <c r="F1326" s="41"/>
      <c r="G1326" s="41"/>
    </row>
    <row r="1327" spans="5:7" s="39" customFormat="1" x14ac:dyDescent="0.3">
      <c r="E1327" s="41"/>
      <c r="F1327" s="41"/>
      <c r="G1327" s="41"/>
    </row>
    <row r="1328" spans="5:7" s="39" customFormat="1" x14ac:dyDescent="0.3">
      <c r="E1328" s="41"/>
      <c r="F1328" s="41"/>
      <c r="G1328" s="41"/>
    </row>
    <row r="1329" spans="5:7" s="39" customFormat="1" x14ac:dyDescent="0.3">
      <c r="E1329" s="41"/>
      <c r="F1329" s="41"/>
      <c r="G1329" s="41"/>
    </row>
    <row r="1330" spans="5:7" s="39" customFormat="1" x14ac:dyDescent="0.3">
      <c r="E1330" s="41"/>
      <c r="F1330" s="41"/>
      <c r="G1330" s="41"/>
    </row>
    <row r="1331" spans="5:7" s="39" customFormat="1" x14ac:dyDescent="0.3">
      <c r="E1331" s="41"/>
      <c r="F1331" s="41"/>
      <c r="G1331" s="41"/>
    </row>
    <row r="1332" spans="5:7" s="39" customFormat="1" x14ac:dyDescent="0.3">
      <c r="E1332" s="41"/>
      <c r="F1332" s="41"/>
      <c r="G1332" s="41"/>
    </row>
    <row r="1333" spans="5:7" s="39" customFormat="1" x14ac:dyDescent="0.3">
      <c r="E1333" s="41"/>
      <c r="F1333" s="41"/>
      <c r="G1333" s="41"/>
    </row>
    <row r="1334" spans="5:7" s="39" customFormat="1" x14ac:dyDescent="0.3">
      <c r="E1334" s="41"/>
      <c r="F1334" s="41"/>
      <c r="G1334" s="41"/>
    </row>
    <row r="1335" spans="5:7" s="39" customFormat="1" x14ac:dyDescent="0.3">
      <c r="E1335" s="41"/>
      <c r="F1335" s="41"/>
      <c r="G1335" s="41"/>
    </row>
    <row r="1336" spans="5:7" s="39" customFormat="1" x14ac:dyDescent="0.3">
      <c r="E1336" s="41"/>
      <c r="F1336" s="41"/>
      <c r="G1336" s="41"/>
    </row>
    <row r="1337" spans="5:7" s="39" customFormat="1" x14ac:dyDescent="0.3">
      <c r="E1337" s="41"/>
      <c r="F1337" s="41"/>
      <c r="G1337" s="41"/>
    </row>
    <row r="1338" spans="5:7" s="39" customFormat="1" x14ac:dyDescent="0.3">
      <c r="E1338" s="41"/>
      <c r="F1338" s="41"/>
      <c r="G1338" s="41"/>
    </row>
    <row r="1339" spans="5:7" s="39" customFormat="1" x14ac:dyDescent="0.3">
      <c r="E1339" s="41"/>
      <c r="F1339" s="41"/>
      <c r="G1339" s="41"/>
    </row>
    <row r="1340" spans="5:7" s="39" customFormat="1" x14ac:dyDescent="0.3">
      <c r="E1340" s="41"/>
      <c r="F1340" s="41"/>
      <c r="G1340" s="41"/>
    </row>
    <row r="1341" spans="5:7" s="39" customFormat="1" x14ac:dyDescent="0.3">
      <c r="E1341" s="41"/>
      <c r="F1341" s="41"/>
      <c r="G1341" s="41"/>
    </row>
    <row r="1342" spans="5:7" s="39" customFormat="1" x14ac:dyDescent="0.3">
      <c r="E1342" s="41"/>
      <c r="F1342" s="41"/>
      <c r="G1342" s="41"/>
    </row>
    <row r="1343" spans="5:7" s="39" customFormat="1" x14ac:dyDescent="0.3">
      <c r="E1343" s="41"/>
      <c r="F1343" s="41"/>
      <c r="G1343" s="41"/>
    </row>
    <row r="1344" spans="5:7" s="39" customFormat="1" x14ac:dyDescent="0.3">
      <c r="E1344" s="41"/>
      <c r="F1344" s="41"/>
      <c r="G1344" s="41"/>
    </row>
    <row r="1345" spans="5:7" s="39" customFormat="1" x14ac:dyDescent="0.3">
      <c r="E1345" s="41"/>
      <c r="F1345" s="41"/>
      <c r="G1345" s="41"/>
    </row>
    <row r="1346" spans="5:7" s="39" customFormat="1" x14ac:dyDescent="0.3">
      <c r="E1346" s="41"/>
      <c r="F1346" s="41"/>
      <c r="G1346" s="41"/>
    </row>
    <row r="1347" spans="5:7" s="39" customFormat="1" x14ac:dyDescent="0.3">
      <c r="E1347" s="41"/>
      <c r="F1347" s="41"/>
      <c r="G1347" s="41"/>
    </row>
    <row r="1348" spans="5:7" s="39" customFormat="1" x14ac:dyDescent="0.3">
      <c r="E1348" s="41"/>
      <c r="F1348" s="41"/>
      <c r="G1348" s="41"/>
    </row>
    <row r="1349" spans="5:7" s="39" customFormat="1" x14ac:dyDescent="0.3">
      <c r="E1349" s="41"/>
      <c r="F1349" s="41"/>
      <c r="G1349" s="41"/>
    </row>
    <row r="1350" spans="5:7" s="39" customFormat="1" x14ac:dyDescent="0.3">
      <c r="E1350" s="41"/>
      <c r="F1350" s="41"/>
      <c r="G1350" s="41"/>
    </row>
    <row r="1351" spans="5:7" s="39" customFormat="1" x14ac:dyDescent="0.3">
      <c r="E1351" s="41"/>
      <c r="F1351" s="41"/>
      <c r="G1351" s="41"/>
    </row>
    <row r="1352" spans="5:7" s="39" customFormat="1" x14ac:dyDescent="0.3">
      <c r="E1352" s="41"/>
      <c r="F1352" s="41"/>
      <c r="G1352" s="41"/>
    </row>
    <row r="1353" spans="5:7" s="39" customFormat="1" x14ac:dyDescent="0.3">
      <c r="E1353" s="41"/>
      <c r="F1353" s="41"/>
      <c r="G1353" s="41"/>
    </row>
    <row r="1354" spans="5:7" s="39" customFormat="1" x14ac:dyDescent="0.3">
      <c r="E1354" s="41"/>
      <c r="F1354" s="41"/>
      <c r="G1354" s="41"/>
    </row>
    <row r="1355" spans="5:7" s="39" customFormat="1" x14ac:dyDescent="0.3">
      <c r="E1355" s="41"/>
      <c r="F1355" s="41"/>
      <c r="G1355" s="41"/>
    </row>
    <row r="1356" spans="5:7" s="39" customFormat="1" x14ac:dyDescent="0.3">
      <c r="E1356" s="41"/>
      <c r="F1356" s="41"/>
      <c r="G1356" s="41"/>
    </row>
    <row r="1357" spans="5:7" s="39" customFormat="1" x14ac:dyDescent="0.3">
      <c r="E1357" s="41"/>
      <c r="F1357" s="41"/>
      <c r="G1357" s="41"/>
    </row>
    <row r="1358" spans="5:7" s="39" customFormat="1" x14ac:dyDescent="0.3">
      <c r="E1358" s="41"/>
      <c r="F1358" s="41"/>
      <c r="G1358" s="41"/>
    </row>
    <row r="1359" spans="5:7" s="39" customFormat="1" x14ac:dyDescent="0.3">
      <c r="E1359" s="41"/>
      <c r="F1359" s="41"/>
      <c r="G1359" s="41"/>
    </row>
    <row r="1360" spans="5:7" s="39" customFormat="1" x14ac:dyDescent="0.3">
      <c r="E1360" s="41"/>
      <c r="F1360" s="41"/>
      <c r="G1360" s="41"/>
    </row>
    <row r="1361" spans="5:7" s="39" customFormat="1" x14ac:dyDescent="0.3">
      <c r="E1361" s="41"/>
      <c r="F1361" s="41"/>
      <c r="G1361" s="41"/>
    </row>
    <row r="1362" spans="5:7" s="39" customFormat="1" x14ac:dyDescent="0.3">
      <c r="E1362" s="41"/>
      <c r="F1362" s="41"/>
      <c r="G1362" s="41"/>
    </row>
    <row r="1363" spans="5:7" s="39" customFormat="1" x14ac:dyDescent="0.3">
      <c r="E1363" s="41"/>
      <c r="F1363" s="41"/>
      <c r="G1363" s="41"/>
    </row>
    <row r="1364" spans="5:7" s="39" customFormat="1" x14ac:dyDescent="0.3">
      <c r="E1364" s="41"/>
      <c r="F1364" s="41"/>
      <c r="G1364" s="41"/>
    </row>
    <row r="1365" spans="5:7" s="39" customFormat="1" x14ac:dyDescent="0.3">
      <c r="E1365" s="41"/>
      <c r="F1365" s="41"/>
      <c r="G1365" s="41"/>
    </row>
    <row r="1366" spans="5:7" s="39" customFormat="1" x14ac:dyDescent="0.3">
      <c r="E1366" s="41"/>
      <c r="F1366" s="41"/>
      <c r="G1366" s="41"/>
    </row>
    <row r="1367" spans="5:7" s="39" customFormat="1" x14ac:dyDescent="0.3">
      <c r="E1367" s="41"/>
      <c r="F1367" s="41"/>
      <c r="G1367" s="41"/>
    </row>
    <row r="1368" spans="5:7" s="39" customFormat="1" x14ac:dyDescent="0.3">
      <c r="E1368" s="41"/>
      <c r="F1368" s="41"/>
      <c r="G1368" s="41"/>
    </row>
    <row r="1369" spans="5:7" s="39" customFormat="1" x14ac:dyDescent="0.3">
      <c r="E1369" s="41"/>
      <c r="F1369" s="41"/>
      <c r="G1369" s="41"/>
    </row>
    <row r="1370" spans="5:7" s="39" customFormat="1" x14ac:dyDescent="0.3">
      <c r="E1370" s="41"/>
      <c r="F1370" s="41"/>
      <c r="G1370" s="41"/>
    </row>
    <row r="1371" spans="5:7" s="39" customFormat="1" x14ac:dyDescent="0.3">
      <c r="E1371" s="41"/>
      <c r="F1371" s="41"/>
      <c r="G1371" s="41"/>
    </row>
    <row r="1372" spans="5:7" s="39" customFormat="1" x14ac:dyDescent="0.3">
      <c r="E1372" s="41"/>
      <c r="F1372" s="41"/>
      <c r="G1372" s="41"/>
    </row>
    <row r="1373" spans="5:7" s="39" customFormat="1" x14ac:dyDescent="0.3">
      <c r="E1373" s="41"/>
      <c r="F1373" s="41"/>
      <c r="G1373" s="41"/>
    </row>
    <row r="1374" spans="5:7" s="39" customFormat="1" x14ac:dyDescent="0.3">
      <c r="E1374" s="41"/>
      <c r="F1374" s="41"/>
      <c r="G1374" s="41"/>
    </row>
    <row r="1375" spans="5:7" s="39" customFormat="1" x14ac:dyDescent="0.3">
      <c r="E1375" s="41"/>
      <c r="F1375" s="41"/>
      <c r="G1375" s="41"/>
    </row>
    <row r="1376" spans="5:7" s="39" customFormat="1" x14ac:dyDescent="0.3">
      <c r="E1376" s="41"/>
      <c r="F1376" s="41"/>
      <c r="G1376" s="41"/>
    </row>
    <row r="1377" spans="5:7" s="39" customFormat="1" x14ac:dyDescent="0.3">
      <c r="E1377" s="41"/>
      <c r="F1377" s="41"/>
      <c r="G1377" s="41"/>
    </row>
    <row r="1378" spans="5:7" s="39" customFormat="1" x14ac:dyDescent="0.3">
      <c r="E1378" s="41"/>
      <c r="F1378" s="41"/>
      <c r="G1378" s="41"/>
    </row>
    <row r="1379" spans="5:7" s="39" customFormat="1" x14ac:dyDescent="0.3">
      <c r="E1379" s="41"/>
      <c r="F1379" s="41"/>
      <c r="G1379" s="41"/>
    </row>
    <row r="1380" spans="5:7" s="39" customFormat="1" x14ac:dyDescent="0.3">
      <c r="E1380" s="41"/>
      <c r="F1380" s="41"/>
      <c r="G1380" s="41"/>
    </row>
    <row r="1381" spans="5:7" s="39" customFormat="1" x14ac:dyDescent="0.3">
      <c r="E1381" s="41"/>
      <c r="F1381" s="41"/>
      <c r="G1381" s="41"/>
    </row>
    <row r="1382" spans="5:7" s="39" customFormat="1" x14ac:dyDescent="0.3">
      <c r="E1382" s="41"/>
      <c r="F1382" s="41"/>
      <c r="G1382" s="41"/>
    </row>
    <row r="1383" spans="5:7" s="39" customFormat="1" x14ac:dyDescent="0.3">
      <c r="E1383" s="41"/>
      <c r="F1383" s="41"/>
      <c r="G1383" s="41"/>
    </row>
    <row r="1384" spans="5:7" s="39" customFormat="1" x14ac:dyDescent="0.3">
      <c r="E1384" s="41"/>
      <c r="F1384" s="41"/>
      <c r="G1384" s="41"/>
    </row>
    <row r="1385" spans="5:7" s="39" customFormat="1" x14ac:dyDescent="0.3">
      <c r="E1385" s="41"/>
      <c r="F1385" s="41"/>
      <c r="G1385" s="41"/>
    </row>
    <row r="1386" spans="5:7" s="39" customFormat="1" x14ac:dyDescent="0.3">
      <c r="E1386" s="41"/>
      <c r="F1386" s="41"/>
      <c r="G1386" s="41"/>
    </row>
    <row r="1387" spans="5:7" s="39" customFormat="1" x14ac:dyDescent="0.3">
      <c r="E1387" s="41"/>
      <c r="F1387" s="41"/>
      <c r="G1387" s="41"/>
    </row>
    <row r="1388" spans="5:7" s="39" customFormat="1" x14ac:dyDescent="0.3">
      <c r="E1388" s="41"/>
      <c r="F1388" s="41"/>
      <c r="G1388" s="41"/>
    </row>
    <row r="1389" spans="5:7" s="39" customFormat="1" x14ac:dyDescent="0.3">
      <c r="E1389" s="41"/>
      <c r="F1389" s="41"/>
      <c r="G1389" s="41"/>
    </row>
    <row r="1390" spans="5:7" s="39" customFormat="1" x14ac:dyDescent="0.3">
      <c r="E1390" s="41"/>
      <c r="F1390" s="41"/>
      <c r="G1390" s="41"/>
    </row>
    <row r="1391" spans="5:7" s="39" customFormat="1" x14ac:dyDescent="0.3">
      <c r="E1391" s="41"/>
      <c r="F1391" s="41"/>
      <c r="G1391" s="41"/>
    </row>
    <row r="1392" spans="5:7" s="39" customFormat="1" x14ac:dyDescent="0.3">
      <c r="E1392" s="41"/>
      <c r="F1392" s="41"/>
      <c r="G1392" s="41"/>
    </row>
    <row r="1393" spans="5:7" s="39" customFormat="1" x14ac:dyDescent="0.3">
      <c r="E1393" s="41"/>
      <c r="F1393" s="41"/>
      <c r="G1393" s="41"/>
    </row>
    <row r="1394" spans="5:7" s="39" customFormat="1" x14ac:dyDescent="0.3">
      <c r="E1394" s="41"/>
      <c r="F1394" s="41"/>
      <c r="G1394" s="41"/>
    </row>
    <row r="1395" spans="5:7" s="39" customFormat="1" x14ac:dyDescent="0.3">
      <c r="E1395" s="41"/>
      <c r="F1395" s="41"/>
      <c r="G1395" s="41"/>
    </row>
    <row r="1396" spans="5:7" s="39" customFormat="1" x14ac:dyDescent="0.3">
      <c r="E1396" s="41"/>
      <c r="F1396" s="41"/>
      <c r="G1396" s="41"/>
    </row>
    <row r="1397" spans="5:7" s="39" customFormat="1" x14ac:dyDescent="0.3">
      <c r="E1397" s="41"/>
      <c r="F1397" s="41"/>
      <c r="G1397" s="41"/>
    </row>
    <row r="1398" spans="5:7" s="39" customFormat="1" x14ac:dyDescent="0.3">
      <c r="E1398" s="41"/>
      <c r="F1398" s="41"/>
      <c r="G1398" s="41"/>
    </row>
    <row r="1399" spans="5:7" s="39" customFormat="1" x14ac:dyDescent="0.3">
      <c r="E1399" s="41"/>
      <c r="F1399" s="41"/>
      <c r="G1399" s="41"/>
    </row>
    <row r="1400" spans="5:7" s="39" customFormat="1" x14ac:dyDescent="0.3">
      <c r="E1400" s="41"/>
      <c r="F1400" s="41"/>
      <c r="G1400" s="41"/>
    </row>
    <row r="1401" spans="5:7" s="39" customFormat="1" x14ac:dyDescent="0.3">
      <c r="E1401" s="41"/>
      <c r="F1401" s="41"/>
      <c r="G1401" s="41"/>
    </row>
    <row r="1402" spans="5:7" s="39" customFormat="1" x14ac:dyDescent="0.3">
      <c r="E1402" s="41"/>
      <c r="F1402" s="41"/>
      <c r="G1402" s="41"/>
    </row>
    <row r="1403" spans="5:7" s="39" customFormat="1" x14ac:dyDescent="0.3">
      <c r="E1403" s="41"/>
      <c r="F1403" s="41"/>
      <c r="G1403" s="41"/>
    </row>
    <row r="1404" spans="5:7" s="39" customFormat="1" x14ac:dyDescent="0.3">
      <c r="E1404" s="41"/>
      <c r="F1404" s="41"/>
      <c r="G1404" s="41"/>
    </row>
    <row r="1405" spans="5:7" s="39" customFormat="1" x14ac:dyDescent="0.3">
      <c r="E1405" s="41"/>
      <c r="F1405" s="41"/>
      <c r="G1405" s="41"/>
    </row>
    <row r="1406" spans="5:7" s="39" customFormat="1" x14ac:dyDescent="0.3">
      <c r="E1406" s="41"/>
      <c r="F1406" s="41"/>
      <c r="G1406" s="41"/>
    </row>
    <row r="1407" spans="5:7" s="39" customFormat="1" x14ac:dyDescent="0.3">
      <c r="E1407" s="41"/>
      <c r="F1407" s="41"/>
      <c r="G1407" s="41"/>
    </row>
    <row r="1408" spans="5:7" s="39" customFormat="1" x14ac:dyDescent="0.3">
      <c r="E1408" s="41"/>
      <c r="F1408" s="41"/>
      <c r="G1408" s="41"/>
    </row>
    <row r="1409" spans="5:7" s="39" customFormat="1" x14ac:dyDescent="0.3">
      <c r="E1409" s="41"/>
      <c r="F1409" s="41"/>
      <c r="G1409" s="41"/>
    </row>
    <row r="1410" spans="5:7" s="39" customFormat="1" x14ac:dyDescent="0.3">
      <c r="E1410" s="41"/>
      <c r="F1410" s="41"/>
      <c r="G1410" s="41"/>
    </row>
    <row r="1411" spans="5:7" s="39" customFormat="1" x14ac:dyDescent="0.3">
      <c r="E1411" s="41"/>
      <c r="F1411" s="41"/>
      <c r="G1411" s="41"/>
    </row>
    <row r="1412" spans="5:7" s="39" customFormat="1" x14ac:dyDescent="0.3">
      <c r="E1412" s="41"/>
      <c r="F1412" s="41"/>
      <c r="G1412" s="41"/>
    </row>
  </sheetData>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B96D-FDD9-4F7A-B0A8-8A0BC797B1DC}">
  <sheetPr codeName="Sheet11">
    <tabColor theme="0"/>
  </sheetPr>
  <dimension ref="A1:VR1444"/>
  <sheetViews>
    <sheetView showGridLines="0" tabSelected="1" topLeftCell="A77" zoomScale="85" zoomScaleNormal="85" workbookViewId="0">
      <selection activeCell="H100" sqref="H100"/>
    </sheetView>
  </sheetViews>
  <sheetFormatPr defaultColWidth="11.44140625" defaultRowHeight="14.4" x14ac:dyDescent="0.3"/>
  <cols>
    <col min="1" max="3" width="3.109375" customWidth="1"/>
    <col min="4" max="4" width="41" bestFit="1" customWidth="1"/>
    <col min="5" max="5" width="3.21875" style="40" customWidth="1"/>
    <col min="6" max="6" width="21" style="40" customWidth="1"/>
    <col min="7" max="7" width="2.5546875" style="40" customWidth="1"/>
    <col min="8" max="8" width="21" style="40" customWidth="1"/>
    <col min="9" max="9" width="1.109375" style="40" customWidth="1"/>
    <col min="10" max="10" width="16.77734375" style="40" customWidth="1"/>
    <col min="11" max="12" width="3.109375" style="40" customWidth="1"/>
    <col min="13" max="13" width="3.109375" customWidth="1"/>
    <col min="14" max="14" width="49.44140625" style="39" customWidth="1"/>
    <col min="15" max="15" width="4" style="39" customWidth="1"/>
    <col min="16" max="16" width="47.5546875" style="39" customWidth="1"/>
    <col min="17" max="17" width="17" style="39" customWidth="1"/>
    <col min="18" max="35" width="27.6640625" style="39" customWidth="1"/>
    <col min="36" max="36" width="3.109375" style="39" customWidth="1"/>
    <col min="37" max="37" width="30" style="39" customWidth="1"/>
    <col min="38" max="590" width="11.44140625" style="39"/>
  </cols>
  <sheetData>
    <row r="1" spans="3:590" x14ac:dyDescent="0.3">
      <c r="E1" s="48"/>
      <c r="F1" s="48"/>
      <c r="G1" s="48"/>
      <c r="H1" s="48"/>
      <c r="I1" s="48"/>
      <c r="J1" s="48"/>
      <c r="K1" s="48"/>
      <c r="L1" s="48"/>
    </row>
    <row r="2" spans="3:590" s="103" customFormat="1" ht="24.6" customHeight="1" x14ac:dyDescent="0.3">
      <c r="C2" s="104" t="s">
        <v>334</v>
      </c>
      <c r="E2" s="105"/>
      <c r="F2" s="105"/>
      <c r="G2" s="105"/>
      <c r="H2" s="105"/>
      <c r="I2" s="105"/>
      <c r="J2" s="209" t="s">
        <v>325</v>
      </c>
      <c r="K2" s="105"/>
      <c r="L2" s="105"/>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c r="NY2" s="106"/>
      <c r="NZ2" s="106"/>
      <c r="OA2" s="106"/>
      <c r="OB2" s="106"/>
      <c r="OC2" s="106"/>
      <c r="OD2" s="106"/>
      <c r="OE2" s="106"/>
      <c r="OF2" s="106"/>
      <c r="OG2" s="106"/>
      <c r="OH2" s="106"/>
      <c r="OI2" s="106"/>
      <c r="OJ2" s="106"/>
      <c r="OK2" s="106"/>
      <c r="OL2" s="106"/>
      <c r="OM2" s="106"/>
      <c r="ON2" s="106"/>
      <c r="OO2" s="106"/>
      <c r="OP2" s="106"/>
      <c r="OQ2" s="106"/>
      <c r="OR2" s="106"/>
      <c r="OS2" s="106"/>
      <c r="OT2" s="106"/>
      <c r="OU2" s="106"/>
      <c r="OV2" s="106"/>
      <c r="OW2" s="106"/>
      <c r="OX2" s="106"/>
      <c r="OY2" s="106"/>
      <c r="OZ2" s="106"/>
      <c r="PA2" s="106"/>
      <c r="PB2" s="106"/>
      <c r="PC2" s="106"/>
      <c r="PD2" s="106"/>
      <c r="PE2" s="106"/>
      <c r="PF2" s="106"/>
      <c r="PG2" s="106"/>
      <c r="PH2" s="106"/>
      <c r="PI2" s="106"/>
      <c r="PJ2" s="106"/>
      <c r="PK2" s="106"/>
      <c r="PL2" s="106"/>
      <c r="PM2" s="106"/>
      <c r="PN2" s="106"/>
      <c r="PO2" s="106"/>
      <c r="PP2" s="106"/>
      <c r="PQ2" s="106"/>
      <c r="PR2" s="106"/>
      <c r="PS2" s="106"/>
      <c r="PT2" s="106"/>
      <c r="PU2" s="106"/>
      <c r="PV2" s="106"/>
      <c r="PW2" s="106"/>
      <c r="PX2" s="106"/>
      <c r="PY2" s="106"/>
      <c r="PZ2" s="106"/>
      <c r="QA2" s="106"/>
      <c r="QB2" s="106"/>
      <c r="QC2" s="106"/>
      <c r="QD2" s="106"/>
      <c r="QE2" s="106"/>
      <c r="QF2" s="106"/>
      <c r="QG2" s="106"/>
      <c r="QH2" s="106"/>
      <c r="QI2" s="106"/>
      <c r="QJ2" s="106"/>
      <c r="QK2" s="106"/>
      <c r="QL2" s="106"/>
      <c r="QM2" s="106"/>
      <c r="QN2" s="106"/>
      <c r="QO2" s="106"/>
      <c r="QP2" s="106"/>
      <c r="QQ2" s="106"/>
      <c r="QR2" s="106"/>
      <c r="QS2" s="106"/>
      <c r="QT2" s="106"/>
      <c r="QU2" s="106"/>
      <c r="QV2" s="106"/>
      <c r="QW2" s="106"/>
      <c r="QX2" s="106"/>
      <c r="QY2" s="106"/>
      <c r="QZ2" s="106"/>
      <c r="RA2" s="106"/>
      <c r="RB2" s="106"/>
      <c r="RC2" s="106"/>
      <c r="RD2" s="106"/>
      <c r="RE2" s="106"/>
      <c r="RF2" s="106"/>
      <c r="RG2" s="106"/>
      <c r="RH2" s="106"/>
      <c r="RI2" s="106"/>
      <c r="RJ2" s="106"/>
      <c r="RK2" s="106"/>
      <c r="RL2" s="106"/>
      <c r="RM2" s="106"/>
      <c r="RN2" s="106"/>
      <c r="RO2" s="106"/>
      <c r="RP2" s="106"/>
      <c r="RQ2" s="106"/>
      <c r="RR2" s="106"/>
      <c r="RS2" s="106"/>
      <c r="RT2" s="106"/>
      <c r="RU2" s="106"/>
      <c r="RV2" s="106"/>
      <c r="RW2" s="106"/>
      <c r="RX2" s="106"/>
      <c r="RY2" s="106"/>
      <c r="RZ2" s="106"/>
      <c r="SA2" s="106"/>
      <c r="SB2" s="106"/>
      <c r="SC2" s="106"/>
      <c r="SD2" s="106"/>
      <c r="SE2" s="106"/>
      <c r="SF2" s="106"/>
      <c r="SG2" s="106"/>
      <c r="SH2" s="106"/>
      <c r="SI2" s="106"/>
      <c r="SJ2" s="106"/>
      <c r="SK2" s="106"/>
      <c r="SL2" s="106"/>
      <c r="SM2" s="106"/>
      <c r="SN2" s="106"/>
      <c r="SO2" s="106"/>
      <c r="SP2" s="106"/>
      <c r="SQ2" s="106"/>
      <c r="SR2" s="106"/>
      <c r="SS2" s="106"/>
      <c r="ST2" s="106"/>
      <c r="SU2" s="106"/>
      <c r="SV2" s="106"/>
      <c r="SW2" s="106"/>
      <c r="SX2" s="106"/>
      <c r="SY2" s="106"/>
      <c r="SZ2" s="106"/>
      <c r="TA2" s="106"/>
      <c r="TB2" s="106"/>
      <c r="TC2" s="106"/>
      <c r="TD2" s="106"/>
      <c r="TE2" s="106"/>
      <c r="TF2" s="106"/>
      <c r="TG2" s="106"/>
      <c r="TH2" s="106"/>
      <c r="TI2" s="106"/>
      <c r="TJ2" s="106"/>
      <c r="TK2" s="106"/>
      <c r="TL2" s="106"/>
      <c r="TM2" s="106"/>
      <c r="TN2" s="106"/>
      <c r="TO2" s="106"/>
      <c r="TP2" s="106"/>
      <c r="TQ2" s="106"/>
      <c r="TR2" s="106"/>
      <c r="TS2" s="106"/>
      <c r="TT2" s="106"/>
      <c r="TU2" s="106"/>
      <c r="TV2" s="106"/>
      <c r="TW2" s="106"/>
      <c r="TX2" s="106"/>
      <c r="TY2" s="106"/>
      <c r="TZ2" s="106"/>
      <c r="UA2" s="106"/>
      <c r="UB2" s="106"/>
      <c r="UC2" s="106"/>
      <c r="UD2" s="106"/>
      <c r="UE2" s="106"/>
      <c r="UF2" s="106"/>
      <c r="UG2" s="106"/>
      <c r="UH2" s="106"/>
      <c r="UI2" s="106"/>
      <c r="UJ2" s="106"/>
      <c r="UK2" s="106"/>
      <c r="UL2" s="106"/>
      <c r="UM2" s="106"/>
      <c r="UN2" s="106"/>
      <c r="UO2" s="106"/>
      <c r="UP2" s="106"/>
      <c r="UQ2" s="106"/>
      <c r="UR2" s="106"/>
      <c r="US2" s="106"/>
      <c r="UT2" s="106"/>
      <c r="UU2" s="106"/>
      <c r="UV2" s="106"/>
      <c r="UW2" s="106"/>
      <c r="UX2" s="106"/>
      <c r="UY2" s="106"/>
      <c r="UZ2" s="106"/>
      <c r="VA2" s="106"/>
      <c r="VB2" s="106"/>
      <c r="VC2" s="106"/>
      <c r="VD2" s="106"/>
      <c r="VE2" s="106"/>
      <c r="VF2" s="106"/>
      <c r="VG2" s="106"/>
      <c r="VH2" s="106"/>
      <c r="VI2" s="106"/>
      <c r="VJ2" s="106"/>
      <c r="VK2" s="106"/>
      <c r="VL2" s="106"/>
      <c r="VM2" s="106"/>
      <c r="VN2" s="106"/>
      <c r="VO2" s="106"/>
      <c r="VP2" s="106"/>
      <c r="VQ2" s="106"/>
      <c r="VR2" s="106"/>
    </row>
    <row r="3" spans="3:590" ht="15" thickBot="1" x14ac:dyDescent="0.35">
      <c r="D3" s="49"/>
      <c r="E3" s="48"/>
      <c r="F3" s="48"/>
      <c r="G3" s="48"/>
      <c r="H3" s="48"/>
      <c r="I3" s="48"/>
      <c r="J3" s="48"/>
      <c r="K3" s="48"/>
      <c r="L3" s="48"/>
    </row>
    <row r="4" spans="3:590" ht="15" thickBot="1" x14ac:dyDescent="0.35">
      <c r="D4" s="207" t="s">
        <v>336</v>
      </c>
      <c r="E4" s="44"/>
      <c r="F4" s="131">
        <v>2000</v>
      </c>
      <c r="G4" s="47" t="s">
        <v>160</v>
      </c>
      <c r="H4" s="132">
        <v>5</v>
      </c>
      <c r="I4" s="215" t="s">
        <v>335</v>
      </c>
      <c r="J4" s="215"/>
      <c r="K4" s="48"/>
      <c r="L4" s="48"/>
    </row>
    <row r="5" spans="3:590" ht="8.4" customHeight="1" x14ac:dyDescent="0.3"/>
    <row r="6" spans="3:590" ht="7.5" customHeight="1" thickBot="1" x14ac:dyDescent="0.35"/>
    <row r="7" spans="3:590" x14ac:dyDescent="0.3">
      <c r="D7" s="107" t="s">
        <v>337</v>
      </c>
      <c r="E7" s="108"/>
      <c r="F7" s="109" t="s">
        <v>338</v>
      </c>
      <c r="G7" s="109"/>
      <c r="H7" s="109" t="s">
        <v>339</v>
      </c>
      <c r="I7" s="109"/>
      <c r="J7" s="110" t="s">
        <v>343</v>
      </c>
    </row>
    <row r="8" spans="3:590" ht="7.5" customHeight="1" thickBot="1" x14ac:dyDescent="0.35">
      <c r="D8" s="111"/>
      <c r="E8" s="45"/>
      <c r="F8" s="45"/>
      <c r="G8" s="45"/>
      <c r="H8" s="45"/>
      <c r="I8" s="45"/>
      <c r="J8" s="112"/>
    </row>
    <row r="9" spans="3:590" ht="15" thickBot="1" x14ac:dyDescent="0.35">
      <c r="D9" s="113" t="s">
        <v>340</v>
      </c>
      <c r="E9" s="43"/>
      <c r="F9" s="57" t="s">
        <v>4</v>
      </c>
      <c r="G9" s="55"/>
      <c r="H9" s="57" t="s">
        <v>380</v>
      </c>
      <c r="I9" s="55"/>
      <c r="J9" s="114"/>
    </row>
    <row r="10" spans="3:590" ht="7.5" customHeight="1" thickBot="1" x14ac:dyDescent="0.35">
      <c r="D10" s="115"/>
      <c r="E10" s="43"/>
      <c r="F10" s="116"/>
      <c r="G10" s="44"/>
      <c r="H10" s="116"/>
      <c r="I10" s="44"/>
      <c r="J10" s="114"/>
    </row>
    <row r="11" spans="3:590" ht="15" customHeight="1" thickBot="1" x14ac:dyDescent="0.35">
      <c r="D11" s="113" t="s">
        <v>341</v>
      </c>
      <c r="E11" s="44"/>
      <c r="F11" s="76">
        <v>2</v>
      </c>
      <c r="G11" s="47"/>
      <c r="H11" s="76">
        <v>2</v>
      </c>
      <c r="I11" s="47"/>
      <c r="J11" s="117"/>
    </row>
    <row r="12" spans="3:590" ht="7.5" customHeight="1" thickBot="1" x14ac:dyDescent="0.35">
      <c r="D12" s="115"/>
      <c r="E12" s="43"/>
      <c r="F12" s="77"/>
      <c r="G12" s="47"/>
      <c r="H12" s="77"/>
      <c r="I12" s="47"/>
      <c r="J12" s="114"/>
    </row>
    <row r="13" spans="3:590" ht="15" thickBot="1" x14ac:dyDescent="0.35">
      <c r="D13" s="113" t="s">
        <v>342</v>
      </c>
      <c r="E13" s="43"/>
      <c r="F13" s="78">
        <v>200000</v>
      </c>
      <c r="G13" s="47"/>
      <c r="H13" s="78">
        <v>200000</v>
      </c>
      <c r="I13" s="47"/>
      <c r="J13" s="117" t="s">
        <v>5</v>
      </c>
    </row>
    <row r="14" spans="3:590" ht="7.5" customHeight="1" thickBot="1" x14ac:dyDescent="0.35">
      <c r="D14" s="118"/>
      <c r="E14" s="119"/>
      <c r="F14" s="120"/>
      <c r="G14" s="120"/>
      <c r="H14" s="120"/>
      <c r="I14" s="120"/>
      <c r="J14" s="121"/>
    </row>
    <row r="16" spans="3:590" ht="27" customHeight="1" x14ac:dyDescent="0.3">
      <c r="D16" s="216" t="s">
        <v>344</v>
      </c>
      <c r="E16" s="216"/>
      <c r="F16" s="216"/>
      <c r="G16" s="216"/>
      <c r="H16" s="216"/>
      <c r="I16" s="216"/>
      <c r="J16" s="216"/>
    </row>
    <row r="17" spans="1:17" ht="15" thickBot="1" x14ac:dyDescent="0.35"/>
    <row r="18" spans="1:17" ht="15" customHeight="1" x14ac:dyDescent="0.3">
      <c r="D18" s="122" t="s">
        <v>345</v>
      </c>
      <c r="E18" s="123"/>
      <c r="F18" s="109" t="s">
        <v>338</v>
      </c>
      <c r="G18" s="109"/>
      <c r="H18" s="109" t="s">
        <v>339</v>
      </c>
      <c r="I18" s="109"/>
      <c r="J18" s="110" t="s">
        <v>343</v>
      </c>
    </row>
    <row r="19" spans="1:17" ht="6.6" customHeight="1" thickBot="1" x14ac:dyDescent="0.35">
      <c r="D19" s="111"/>
      <c r="E19" s="45"/>
      <c r="F19" s="45"/>
      <c r="G19" s="45"/>
      <c r="H19" s="45"/>
      <c r="I19" s="45"/>
      <c r="J19" s="112"/>
    </row>
    <row r="20" spans="1:17" ht="16.2" customHeight="1" thickBot="1" x14ac:dyDescent="0.35">
      <c r="B20" s="34"/>
      <c r="C20" s="34"/>
      <c r="D20" s="113" t="s">
        <v>346</v>
      </c>
      <c r="E20" s="44"/>
      <c r="F20" s="46" t="s">
        <v>377</v>
      </c>
      <c r="G20" s="47"/>
      <c r="H20" s="46" t="s">
        <v>377</v>
      </c>
      <c r="I20" s="47"/>
      <c r="J20" s="117"/>
    </row>
    <row r="21" spans="1:17" ht="6" customHeight="1" thickBot="1" x14ac:dyDescent="0.35">
      <c r="B21" s="34"/>
      <c r="C21" s="34"/>
      <c r="D21" s="124"/>
      <c r="E21" s="44"/>
      <c r="F21" s="44"/>
      <c r="G21" s="44"/>
      <c r="H21" s="44"/>
      <c r="I21" s="44"/>
      <c r="J21" s="125"/>
    </row>
    <row r="22" spans="1:17" s="39" customFormat="1" ht="15" thickBot="1" x14ac:dyDescent="0.35">
      <c r="A22" s="34"/>
      <c r="B22" s="34"/>
      <c r="C22" s="34"/>
      <c r="D22" s="126" t="s">
        <v>347</v>
      </c>
      <c r="E22" s="44"/>
      <c r="F22" s="96"/>
      <c r="G22" s="47"/>
      <c r="H22" s="96"/>
      <c r="I22" s="47"/>
      <c r="J22" s="208" t="s">
        <v>378</v>
      </c>
      <c r="K22" s="34"/>
      <c r="L22" s="34"/>
      <c r="M22"/>
    </row>
    <row r="23" spans="1:17" s="39" customFormat="1" ht="7.5" customHeight="1" thickBot="1" x14ac:dyDescent="0.35">
      <c r="A23" s="34"/>
      <c r="B23" s="34"/>
      <c r="C23" s="34"/>
      <c r="D23" s="124"/>
      <c r="E23" s="44"/>
      <c r="F23" s="44"/>
      <c r="G23" s="44"/>
      <c r="H23" s="44"/>
      <c r="I23" s="44"/>
      <c r="J23" s="125"/>
      <c r="K23" s="34"/>
      <c r="L23" s="34"/>
      <c r="M23"/>
    </row>
    <row r="24" spans="1:17" s="39" customFormat="1" ht="15" thickBot="1" x14ac:dyDescent="0.35">
      <c r="A24" s="34"/>
      <c r="B24" s="34"/>
      <c r="C24" s="34"/>
      <c r="D24" s="113" t="s">
        <v>348</v>
      </c>
      <c r="E24" s="44"/>
      <c r="F24" s="96">
        <f>IF(OR(F9="&lt; select &gt;",F9="",F13="",F11="",D4="",F4=""),"",1353)</f>
        <v>1353</v>
      </c>
      <c r="G24" s="47"/>
      <c r="H24" s="96">
        <f>IF(OR(H9="&lt; select &gt;",H9="",H13="",H11="",F4="",H4=""),"",1353)</f>
        <v>1353</v>
      </c>
      <c r="I24" s="47"/>
      <c r="J24" s="117" t="s">
        <v>353</v>
      </c>
      <c r="K24" s="34"/>
      <c r="L24" s="34"/>
      <c r="M24"/>
    </row>
    <row r="25" spans="1:17" s="39" customFormat="1" ht="7.5" customHeight="1" thickBot="1" x14ac:dyDescent="0.35">
      <c r="A25" s="34"/>
      <c r="B25" s="34"/>
      <c r="C25" s="34"/>
      <c r="D25" s="124"/>
      <c r="E25" s="44"/>
      <c r="F25" s="44"/>
      <c r="G25" s="44"/>
      <c r="H25" s="44"/>
      <c r="I25" s="44"/>
      <c r="J25" s="125"/>
      <c r="K25" s="34"/>
      <c r="L25" s="34"/>
      <c r="M25"/>
    </row>
    <row r="26" spans="1:17" s="39" customFormat="1" ht="15" thickBot="1" x14ac:dyDescent="0.35">
      <c r="A26" s="34"/>
      <c r="B26" s="34"/>
      <c r="C26" s="34"/>
      <c r="D26" s="126" t="s">
        <v>349</v>
      </c>
      <c r="E26" s="44"/>
      <c r="F26" s="97">
        <f>IF(OR(F9="&lt; select &gt;",F9="",F13="",F11="",F4="",H4=""),"",'Prix GN'!C2/100)</f>
        <v>0.17807999999999999</v>
      </c>
      <c r="G26" s="47"/>
      <c r="H26" s="97">
        <f>IF(OR(H9="&lt; select &gt;",H9="",H13="",H11="",F4="",H4=""),"",'Prix GN'!C2/100)</f>
        <v>0.17807999999999999</v>
      </c>
      <c r="I26" s="47"/>
      <c r="J26" s="208" t="s">
        <v>164</v>
      </c>
      <c r="K26" s="34"/>
      <c r="L26" s="34"/>
      <c r="M26"/>
    </row>
    <row r="27" spans="1:17" s="39" customFormat="1" ht="7.5" customHeight="1" thickBot="1" x14ac:dyDescent="0.35">
      <c r="A27" s="34"/>
      <c r="B27" s="34"/>
      <c r="C27" s="34"/>
      <c r="D27" s="113"/>
      <c r="E27" s="44"/>
      <c r="F27" s="47"/>
      <c r="G27" s="47"/>
      <c r="H27" s="47"/>
      <c r="I27" s="47"/>
      <c r="J27" s="125"/>
      <c r="K27" s="34"/>
      <c r="L27" s="34"/>
      <c r="M27"/>
    </row>
    <row r="28" spans="1:17" s="39" customFormat="1" ht="15" thickBot="1" x14ac:dyDescent="0.35">
      <c r="A28" s="34"/>
      <c r="B28"/>
      <c r="C28"/>
      <c r="D28" s="113" t="s">
        <v>350</v>
      </c>
      <c r="E28" s="44"/>
      <c r="F28" s="46">
        <f>IF(OR(F9="&lt; select &gt;",F9="",F13="",F11="",D4="",F4=""),"",IF(F9="Condensing",93,82))</f>
        <v>82</v>
      </c>
      <c r="G28" s="47"/>
      <c r="H28" s="46">
        <f>IF(OR(H9="&lt; select &gt;",H9="",H13="",H11="",F4="",H4=""),"",IF(H9="Condensing",93,82))</f>
        <v>93</v>
      </c>
      <c r="I28" s="47"/>
      <c r="J28" s="117" t="s">
        <v>6</v>
      </c>
      <c r="K28" s="34"/>
      <c r="L28" s="34"/>
      <c r="M28"/>
    </row>
    <row r="29" spans="1:17" s="39" customFormat="1" ht="7.5" customHeight="1" thickBot="1" x14ac:dyDescent="0.35">
      <c r="A29" s="34"/>
      <c r="B29"/>
      <c r="C29"/>
      <c r="D29" s="127"/>
      <c r="E29" s="44"/>
      <c r="F29" s="44"/>
      <c r="G29" s="44"/>
      <c r="H29" s="44"/>
      <c r="I29" s="44"/>
      <c r="J29" s="125"/>
      <c r="K29" s="34"/>
      <c r="L29" s="34"/>
      <c r="M29"/>
    </row>
    <row r="30" spans="1:17" s="39" customFormat="1" ht="15" thickBot="1" x14ac:dyDescent="0.35">
      <c r="A30" s="34"/>
      <c r="B30"/>
      <c r="C30"/>
      <c r="D30" s="113" t="s">
        <v>351</v>
      </c>
      <c r="E30" s="44"/>
      <c r="F30" s="96">
        <f>IF(OR(F9="&lt; select &gt;",F9="",F13="",F11="",D4="",F4=""),"",IF(F9="Standard",0.00000003*F13^2+0.0001*F13+1533.4,2*(0.00000003*F13^2+0.0001*F13+1533.4))*F11)</f>
        <v>5506.8</v>
      </c>
      <c r="G30" s="47"/>
      <c r="H30" s="96">
        <f>IF(OR(H9="&lt; select &gt;",H9="",H13="",H11="",F4="",H4=""),"",IF(H9="Standard",0.00000003*H13^2+0.0001*H13+1533.4,2*(0.00000003*H13^2+0.0001*H13+1533.4))*H11)</f>
        <v>11013.6</v>
      </c>
      <c r="I30" s="47"/>
      <c r="J30" s="117" t="s">
        <v>7</v>
      </c>
      <c r="K30" s="34"/>
      <c r="L30" s="34"/>
      <c r="M30"/>
    </row>
    <row r="31" spans="1:17" s="39" customFormat="1" ht="7.5" customHeight="1" thickBot="1" x14ac:dyDescent="0.35">
      <c r="A31" s="34"/>
      <c r="B31"/>
      <c r="C31"/>
      <c r="D31" s="127"/>
      <c r="E31" s="44"/>
      <c r="F31" s="44"/>
      <c r="G31" s="44"/>
      <c r="H31" s="44"/>
      <c r="I31" s="44"/>
      <c r="J31" s="125"/>
      <c r="K31" s="34"/>
      <c r="L31" s="34"/>
      <c r="M31"/>
      <c r="O31" s="41"/>
      <c r="Q31" s="41"/>
    </row>
    <row r="32" spans="1:17" s="39" customFormat="1" ht="15" thickBot="1" x14ac:dyDescent="0.35">
      <c r="A32" s="34"/>
      <c r="B32"/>
      <c r="C32"/>
      <c r="D32" s="113" t="s">
        <v>352</v>
      </c>
      <c r="E32" s="44"/>
      <c r="F32" s="96">
        <f>IF(OR(F9="&lt; select &gt;",F9="",F13="",F11="",F4="",H4=""),"",IF(F9="Standard",2000,4400))</f>
        <v>2000</v>
      </c>
      <c r="G32" s="47"/>
      <c r="H32" s="96">
        <f>IF(OR(H9="&lt; select &gt;",H9="",H13="",H11="",F4="",H4=""),"",IF(H9="Standard",2000,4400))</f>
        <v>4400</v>
      </c>
      <c r="I32" s="47"/>
      <c r="J32" s="117" t="s">
        <v>7</v>
      </c>
      <c r="K32" s="34"/>
      <c r="L32" s="34"/>
      <c r="M32"/>
    </row>
    <row r="33" spans="1:16" s="39" customFormat="1" ht="7.5" customHeight="1" thickBot="1" x14ac:dyDescent="0.35">
      <c r="A33" s="34"/>
      <c r="B33"/>
      <c r="C33"/>
      <c r="D33" s="128"/>
      <c r="E33" s="119"/>
      <c r="F33" s="119"/>
      <c r="G33" s="119"/>
      <c r="H33" s="119"/>
      <c r="I33" s="119"/>
      <c r="J33" s="121"/>
      <c r="K33" s="34"/>
      <c r="L33" s="34"/>
      <c r="M33"/>
    </row>
    <row r="34" spans="1:16" s="39" customFormat="1" ht="15" thickBot="1" x14ac:dyDescent="0.35">
      <c r="A34" s="34"/>
      <c r="B34"/>
      <c r="C34"/>
      <c r="D34" s="34"/>
      <c r="E34" s="34"/>
      <c r="F34" s="34"/>
      <c r="G34" s="34"/>
      <c r="H34" s="34"/>
      <c r="I34" s="34"/>
      <c r="J34" s="34"/>
      <c r="K34" s="34"/>
      <c r="L34" s="34"/>
      <c r="M34"/>
    </row>
    <row r="35" spans="1:16" s="39" customFormat="1" ht="15" customHeight="1" x14ac:dyDescent="0.3">
      <c r="A35" s="34"/>
      <c r="B35"/>
      <c r="C35"/>
      <c r="D35" s="122" t="s">
        <v>354</v>
      </c>
      <c r="E35" s="123"/>
      <c r="F35" s="109" t="s">
        <v>338</v>
      </c>
      <c r="G35" s="109"/>
      <c r="H35" s="109" t="s">
        <v>339</v>
      </c>
      <c r="I35" s="109"/>
      <c r="J35" s="110" t="s">
        <v>343</v>
      </c>
      <c r="K35" s="34"/>
      <c r="L35" s="34"/>
      <c r="M35"/>
    </row>
    <row r="36" spans="1:16" s="39" customFormat="1" ht="6" customHeight="1" thickBot="1" x14ac:dyDescent="0.35">
      <c r="A36" s="34"/>
      <c r="B36"/>
      <c r="C36"/>
      <c r="D36" s="111"/>
      <c r="E36" s="45"/>
      <c r="F36" s="45"/>
      <c r="G36" s="45"/>
      <c r="H36" s="45"/>
      <c r="I36" s="45"/>
      <c r="J36" s="112"/>
      <c r="K36" s="34"/>
      <c r="L36" s="34"/>
      <c r="M36"/>
    </row>
    <row r="37" spans="1:16" s="39" customFormat="1" ht="15" customHeight="1" thickBot="1" x14ac:dyDescent="0.35">
      <c r="A37" s="34"/>
      <c r="B37"/>
      <c r="C37"/>
      <c r="D37" s="113" t="s">
        <v>355</v>
      </c>
      <c r="E37" s="44"/>
      <c r="F37" s="57" t="str">
        <f>IF(OR(F9="&lt; select &gt;",F9="",F13="",F11="",F4="",H4=""),"",'Outil V3'!I5)</f>
        <v>N/A</v>
      </c>
      <c r="G37" s="74"/>
      <c r="H37" s="57" t="str">
        <f>IF(OR(H9="&lt; select &gt;",H9="",H13="",H11="",F4="",H4=""),"",'Outil V3'!I20)</f>
        <v>N/A</v>
      </c>
      <c r="I37" s="74"/>
      <c r="J37" s="117"/>
      <c r="K37" s="34"/>
      <c r="L37" s="34"/>
      <c r="M37"/>
    </row>
    <row r="38" spans="1:16" ht="7.2" customHeight="1" thickBot="1" x14ac:dyDescent="0.35">
      <c r="D38" s="124"/>
      <c r="E38" s="44"/>
      <c r="F38" s="116"/>
      <c r="G38" s="116"/>
      <c r="H38" s="116"/>
      <c r="I38" s="44"/>
      <c r="J38" s="125"/>
    </row>
    <row r="39" spans="1:16" ht="15" customHeight="1" thickBot="1" x14ac:dyDescent="0.35">
      <c r="D39" s="113" t="s">
        <v>356</v>
      </c>
      <c r="E39" s="44"/>
      <c r="F39" s="78">
        <f>IF(OR(F9="&lt; select &gt;",F9="",F13="",F11="",F4="",H4="",J26="&lt; select &gt;"),"",'Outil V3'!I6 + F32)</f>
        <v>7506.8</v>
      </c>
      <c r="G39" s="79"/>
      <c r="H39" s="78">
        <f>IF(OR(H9="&lt; select &gt;",H9="",H13="",H11="",F4="",H4="",J26="&lt; select &gt;"),"",'Outil V3'!I21 + H32)</f>
        <v>15413.6</v>
      </c>
      <c r="I39" s="75"/>
      <c r="J39" s="117" t="s">
        <v>7</v>
      </c>
    </row>
    <row r="40" spans="1:16" ht="7.5" customHeight="1" thickBot="1" x14ac:dyDescent="0.35">
      <c r="D40" s="113"/>
      <c r="E40" s="44"/>
      <c r="F40" s="79"/>
      <c r="G40" s="79"/>
      <c r="H40" s="79"/>
      <c r="I40" s="47"/>
      <c r="J40" s="125"/>
    </row>
    <row r="41" spans="1:16" ht="16.2" thickBot="1" x14ac:dyDescent="0.35">
      <c r="D41" s="113" t="s">
        <v>357</v>
      </c>
      <c r="E41" s="44"/>
      <c r="F41" s="78">
        <f>IF(OR(F9="&lt; select &gt;",F9="",F13="",F11="",F4="",H4="",J26="&lt; select &gt;"),"",'Outil V3'!I8)</f>
        <v>18377.746220031742</v>
      </c>
      <c r="G41" s="79"/>
      <c r="H41" s="78">
        <f>IF(OR(F9="&lt; select &gt;",F9="",F13="",F11="",F4="",H4="",J26="&lt; select &gt;"),"",'Outil V3'!I23)</f>
        <v>16204.034301533367</v>
      </c>
      <c r="I41" s="75"/>
      <c r="J41" s="117" t="s">
        <v>359</v>
      </c>
      <c r="P41" s="41"/>
    </row>
    <row r="42" spans="1:16" ht="7.5" customHeight="1" thickBot="1" x14ac:dyDescent="0.35">
      <c r="D42" s="127"/>
      <c r="E42" s="44"/>
      <c r="F42" s="129"/>
      <c r="G42" s="129"/>
      <c r="H42" s="129"/>
      <c r="I42" s="44"/>
      <c r="J42" s="125"/>
    </row>
    <row r="43" spans="1:16" ht="15" thickBot="1" x14ac:dyDescent="0.35">
      <c r="D43" s="113" t="s">
        <v>358</v>
      </c>
      <c r="E43" s="44"/>
      <c r="F43" s="78">
        <f>IF(OR(F9="&lt; select &gt;",F9="",F13="",F11="",F4="",H4="",J26="&lt; select &gt;"),"",'Outil V3'!I9)</f>
        <v>3272.7090468632523</v>
      </c>
      <c r="G43" s="79"/>
      <c r="H43" s="78">
        <f>IF(OR(H9="&lt; select &gt;",H9="",H13="",H11="",F4="",H4="",J26="&lt; select &gt;"),"",'Outil V3'!I24)</f>
        <v>2885.6144284170618</v>
      </c>
      <c r="I43" s="47"/>
      <c r="J43" s="117" t="s">
        <v>360</v>
      </c>
    </row>
    <row r="44" spans="1:16" ht="7.5" customHeight="1" thickBot="1" x14ac:dyDescent="0.35">
      <c r="D44" s="128"/>
      <c r="E44" s="119"/>
      <c r="F44" s="119"/>
      <c r="G44" s="119"/>
      <c r="H44" s="119"/>
      <c r="I44" s="119"/>
      <c r="J44" s="121"/>
    </row>
    <row r="48" spans="1:16" ht="25.2" customHeight="1" x14ac:dyDescent="0.45">
      <c r="C48" s="142"/>
      <c r="D48" s="214" t="s">
        <v>366</v>
      </c>
      <c r="E48" s="214"/>
      <c r="F48" s="214"/>
      <c r="G48" s="140"/>
      <c r="H48" s="140"/>
      <c r="I48" s="140"/>
      <c r="J48" s="140"/>
      <c r="K48" s="140"/>
      <c r="L48" s="136"/>
    </row>
    <row r="49" spans="3:12" x14ac:dyDescent="0.3">
      <c r="C49" s="142"/>
      <c r="D49" s="141"/>
      <c r="E49" s="140"/>
      <c r="F49" s="140"/>
      <c r="G49" s="140"/>
      <c r="H49" s="140"/>
      <c r="I49" s="140"/>
      <c r="J49" s="140"/>
      <c r="K49" s="140"/>
      <c r="L49" s="136"/>
    </row>
    <row r="50" spans="3:12" ht="7.5" customHeight="1" x14ac:dyDescent="0.3">
      <c r="C50" s="142"/>
      <c r="D50" s="148"/>
      <c r="E50" s="149"/>
      <c r="F50" s="149"/>
      <c r="G50" s="149"/>
      <c r="H50" s="149"/>
      <c r="I50" s="149"/>
      <c r="J50" s="149"/>
      <c r="K50" s="140"/>
      <c r="L50" s="136"/>
    </row>
    <row r="51" spans="3:12" ht="23.4" x14ac:dyDescent="0.45">
      <c r="C51" s="142"/>
      <c r="D51" s="210" t="s">
        <v>367</v>
      </c>
      <c r="E51" s="210"/>
      <c r="F51" s="210"/>
      <c r="G51" s="210"/>
      <c r="H51" s="210"/>
      <c r="I51" s="210"/>
      <c r="J51" s="210"/>
      <c r="K51" s="143"/>
      <c r="L51" s="137"/>
    </row>
    <row r="52" spans="3:12" ht="7.5" customHeight="1" x14ac:dyDescent="0.3">
      <c r="C52" s="142"/>
      <c r="D52" s="150"/>
      <c r="E52" s="151"/>
      <c r="F52" s="151"/>
      <c r="G52" s="151"/>
      <c r="H52" s="151"/>
      <c r="I52" s="151"/>
      <c r="J52" s="151"/>
      <c r="K52" s="144"/>
      <c r="L52" s="138"/>
    </row>
    <row r="53" spans="3:12" x14ac:dyDescent="0.3">
      <c r="C53" s="142"/>
      <c r="D53" s="217" t="str">
        <f>IF(OR(F9="&lt; select &gt;",F9="",H9="&lt; select &gt;",H9=""),"",
IF(AND(F9="Standard",H9=F9,F41&lt;H41),"Using standard unit heater(s) 1 instead of standard unit heater(s) 2 generates the following savings:",
IF(AND(F9="Standard",H9=F9,F41&gt;H41),"Using standard unit heater(s) 2 instead of standard unit heater(s) 1 generates the following savings:",
IF(AND(F9="Condensing",H9=F9,F41&lt;H41),"Using condensing unit heater(s) 1 instead of condensing unit heater(s) 2 generates the following savings:",
IF(AND(F9="Condensing",H9=F9,F41&gt;H41),"Using condensing unit heater(s) 2 instead of condensing unit heater(s) 1 generates the following savings:",
"Using condensing unit heater(s) instead of standard unit heater(s) generates the following savings:")))))</f>
        <v>Using condensing unit heater(s) instead of standard unit heater(s) generates the following savings:</v>
      </c>
      <c r="E53" s="217"/>
      <c r="F53" s="217"/>
      <c r="G53" s="217"/>
      <c r="H53" s="217"/>
      <c r="I53" s="217"/>
      <c r="J53" s="217"/>
      <c r="K53" s="144"/>
      <c r="L53" s="138"/>
    </row>
    <row r="54" spans="3:12" ht="4.2" customHeight="1" x14ac:dyDescent="0.3">
      <c r="C54" s="142"/>
      <c r="D54" s="153"/>
      <c r="E54" s="151"/>
      <c r="F54" s="151"/>
      <c r="G54" s="151"/>
      <c r="H54" s="151"/>
      <c r="I54" s="151"/>
      <c r="J54" s="151"/>
      <c r="K54" s="144"/>
      <c r="L54" s="138"/>
    </row>
    <row r="55" spans="3:12" ht="16.2" customHeight="1" x14ac:dyDescent="0.3">
      <c r="C55" s="142"/>
      <c r="D55" s="157" t="s">
        <v>363</v>
      </c>
      <c r="E55" s="158"/>
      <c r="F55" s="159">
        <f>IF(OR(F9="&lt; select &gt;",F9="",H9="&lt; select &gt;",H9="",F9="",F13="",F11="",H13="",H11="",F4="",H4="",J26="&lt; select &gt;"),"",'Outil V3'!I8-'Outil V3'!I23)</f>
        <v>2173.7119184983749</v>
      </c>
      <c r="G55" s="151"/>
      <c r="H55" s="151" t="s">
        <v>361</v>
      </c>
      <c r="I55" s="151"/>
      <c r="J55" s="151"/>
      <c r="K55" s="144"/>
      <c r="L55" s="138"/>
    </row>
    <row r="56" spans="3:12" ht="4.2" customHeight="1" x14ac:dyDescent="0.3">
      <c r="C56" s="142"/>
      <c r="D56" s="156"/>
      <c r="E56" s="151"/>
      <c r="F56" s="159"/>
      <c r="G56" s="151"/>
      <c r="H56" s="151"/>
      <c r="I56" s="151"/>
      <c r="J56" s="151"/>
      <c r="K56" s="144"/>
      <c r="L56" s="138"/>
    </row>
    <row r="57" spans="3:12" x14ac:dyDescent="0.3">
      <c r="C57" s="142"/>
      <c r="D57" s="157" t="s">
        <v>364</v>
      </c>
      <c r="E57" s="158"/>
      <c r="F57" s="159">
        <f>IF(OR(F9="&lt; select &gt;",F9="",H9="&lt; select &gt;",H9="",F9="",F13="",F11="",H13="",H11="",F4="",H4="",J26="&lt; select &gt;"),"",'Outil V3'!I9-'Outil V3'!I24)</f>
        <v>387.09461844619045</v>
      </c>
      <c r="G57" s="151"/>
      <c r="H57" s="151" t="s">
        <v>360</v>
      </c>
      <c r="I57" s="151"/>
      <c r="J57" s="151"/>
      <c r="K57" s="144"/>
      <c r="L57" s="138"/>
    </row>
    <row r="58" spans="3:12" ht="5.4" customHeight="1" x14ac:dyDescent="0.3">
      <c r="C58" s="142"/>
      <c r="D58" s="157"/>
      <c r="E58" s="151"/>
      <c r="F58" s="159"/>
      <c r="G58" s="151"/>
      <c r="H58" s="151"/>
      <c r="I58" s="151"/>
      <c r="J58" s="151"/>
      <c r="K58" s="144"/>
      <c r="L58" s="138"/>
    </row>
    <row r="59" spans="3:12" ht="15.6" x14ac:dyDescent="0.35">
      <c r="C59" s="142"/>
      <c r="D59" s="157" t="s">
        <v>365</v>
      </c>
      <c r="E59" s="158"/>
      <c r="F59" s="161">
        <f>IF(OR(F9="&lt; select &gt;",F9="",H9="&lt; select &gt;",H9="",F9="",F13="",F11="",H13="",H11="",F4="",H4="",J26="&lt; select &gt;"),"",'Outil V3'!I10-'Outil V3'!I25)</f>
        <v>4.0952732544509338</v>
      </c>
      <c r="G59" s="151"/>
      <c r="H59" s="151" t="s">
        <v>362</v>
      </c>
      <c r="I59" s="151"/>
      <c r="J59" s="151"/>
      <c r="K59" s="144"/>
      <c r="L59" s="138"/>
    </row>
    <row r="60" spans="3:12" x14ac:dyDescent="0.3">
      <c r="C60" s="142"/>
      <c r="D60" s="148"/>
      <c r="E60" s="149"/>
      <c r="F60" s="154"/>
      <c r="G60" s="149"/>
      <c r="H60" s="149"/>
      <c r="I60" s="149"/>
      <c r="J60" s="149"/>
      <c r="K60" s="140"/>
      <c r="L60" s="136"/>
    </row>
    <row r="61" spans="3:12" x14ac:dyDescent="0.3">
      <c r="C61" s="142"/>
      <c r="D61" s="142"/>
      <c r="E61" s="140"/>
      <c r="F61" s="140"/>
      <c r="G61" s="140"/>
      <c r="H61" s="140"/>
      <c r="I61" s="140"/>
      <c r="J61" s="140"/>
      <c r="K61" s="140"/>
      <c r="L61" s="136"/>
    </row>
    <row r="62" spans="3:12" ht="4.8" customHeight="1" x14ac:dyDescent="0.3">
      <c r="C62" s="142"/>
      <c r="D62" s="148"/>
      <c r="E62" s="149"/>
      <c r="F62" s="149"/>
      <c r="G62" s="149"/>
      <c r="H62" s="149"/>
      <c r="I62" s="149"/>
      <c r="J62" s="149"/>
      <c r="K62" s="140"/>
      <c r="L62" s="136"/>
    </row>
    <row r="63" spans="3:12" ht="23.4" x14ac:dyDescent="0.45">
      <c r="C63" s="142"/>
      <c r="D63" s="210" t="s">
        <v>368</v>
      </c>
      <c r="E63" s="210"/>
      <c r="F63" s="210"/>
      <c r="G63" s="210"/>
      <c r="H63" s="210"/>
      <c r="I63" s="210"/>
      <c r="J63" s="210"/>
      <c r="K63" s="143"/>
      <c r="L63" s="139"/>
    </row>
    <row r="64" spans="3:12" ht="7.2" customHeight="1" x14ac:dyDescent="0.3">
      <c r="C64" s="142"/>
      <c r="D64" s="150"/>
      <c r="E64" s="151"/>
      <c r="F64" s="151"/>
      <c r="G64" s="151"/>
      <c r="H64" s="151"/>
      <c r="I64" s="151"/>
      <c r="J64" s="151"/>
      <c r="K64" s="144"/>
      <c r="L64" s="138"/>
    </row>
    <row r="65" spans="3:12" x14ac:dyDescent="0.3">
      <c r="C65" s="142"/>
      <c r="D65" s="157" t="str">
        <f>IF(F9="Condensing","Condensing Unit Heater",IF(F9="Standard","Standard Unit Heater"&amp; IF(F9=H9, 1, ""),"Equipment 1"))</f>
        <v>Standard Unit Heater</v>
      </c>
      <c r="E65" s="157"/>
      <c r="F65" s="152">
        <f>IF(OR(F9="&lt; select &gt;",F9="",F13="",F11="",F4="",H4="",J26="&lt; select &gt;"),"",'Outil V3'!I7)</f>
        <v>0</v>
      </c>
      <c r="G65" s="151"/>
      <c r="H65" s="151" t="s">
        <v>7</v>
      </c>
      <c r="I65" s="151"/>
      <c r="J65" s="151"/>
      <c r="K65" s="144"/>
      <c r="L65" s="138"/>
    </row>
    <row r="66" spans="3:12" ht="5.4" customHeight="1" x14ac:dyDescent="0.3">
      <c r="C66" s="142"/>
      <c r="D66" s="157"/>
      <c r="E66" s="157"/>
      <c r="F66" s="152"/>
      <c r="G66" s="151"/>
      <c r="H66" s="151"/>
      <c r="I66" s="151"/>
      <c r="J66" s="151"/>
      <c r="K66" s="144"/>
      <c r="L66" s="138"/>
    </row>
    <row r="67" spans="3:12" x14ac:dyDescent="0.3">
      <c r="C67" s="142"/>
      <c r="D67" s="157" t="str">
        <f>IF(H9="Condensing","Condensing Unit Heater",IF(H9="Standard","Standard Unit Heater" &amp; IF(F9=H9, 2, ""),"Equipment 2"))</f>
        <v>Condensing Unit Heater</v>
      </c>
      <c r="E67" s="157"/>
      <c r="F67" s="152">
        <f>IF(OR(H9="&lt; select &gt;",H9="",H13="",H11="",F4="",H4="",J26="&lt; select &gt;"),"",'Outil V3'!I22)</f>
        <v>6000</v>
      </c>
      <c r="G67" s="151"/>
      <c r="H67" s="151" t="s">
        <v>7</v>
      </c>
      <c r="I67" s="151"/>
      <c r="J67" s="151"/>
      <c r="K67" s="144"/>
      <c r="L67" s="138"/>
    </row>
    <row r="68" spans="3:12" x14ac:dyDescent="0.3">
      <c r="C68" s="142"/>
      <c r="D68" s="150"/>
      <c r="E68" s="151"/>
      <c r="F68" s="151"/>
      <c r="G68" s="151"/>
      <c r="H68" s="151"/>
      <c r="I68" s="151"/>
      <c r="J68" s="151"/>
      <c r="K68" s="144"/>
      <c r="L68" s="138"/>
    </row>
    <row r="69" spans="3:12" x14ac:dyDescent="0.3">
      <c r="C69" s="142"/>
      <c r="D69" s="142"/>
      <c r="E69" s="140"/>
      <c r="F69" s="147"/>
      <c r="G69" s="140"/>
      <c r="H69" s="140"/>
      <c r="I69" s="140"/>
      <c r="J69" s="140"/>
      <c r="K69" s="140"/>
      <c r="L69" s="136"/>
    </row>
    <row r="70" spans="3:12" ht="6.6" customHeight="1" x14ac:dyDescent="0.3">
      <c r="C70" s="142"/>
      <c r="D70" s="148"/>
      <c r="E70" s="149"/>
      <c r="F70" s="155"/>
      <c r="G70" s="149"/>
      <c r="H70" s="149"/>
      <c r="I70" s="149"/>
      <c r="J70" s="149"/>
      <c r="K70" s="140"/>
      <c r="L70" s="136"/>
    </row>
    <row r="71" spans="3:12" ht="22.2" customHeight="1" x14ac:dyDescent="0.45">
      <c r="C71" s="142"/>
      <c r="D71" s="210" t="s">
        <v>369</v>
      </c>
      <c r="E71" s="210"/>
      <c r="F71" s="210"/>
      <c r="G71" s="210"/>
      <c r="H71" s="210"/>
      <c r="I71" s="210"/>
      <c r="J71" s="210"/>
      <c r="K71" s="143"/>
      <c r="L71" s="139"/>
    </row>
    <row r="72" spans="3:12" ht="5.4" customHeight="1" x14ac:dyDescent="0.3">
      <c r="C72" s="142"/>
      <c r="D72" s="150"/>
      <c r="E72" s="151"/>
      <c r="F72" s="151"/>
      <c r="G72" s="151"/>
      <c r="H72" s="151"/>
      <c r="I72" s="151"/>
      <c r="J72" s="151"/>
      <c r="K72" s="144"/>
      <c r="L72" s="138"/>
    </row>
    <row r="73" spans="3:12" x14ac:dyDescent="0.3">
      <c r="C73" s="142"/>
      <c r="D73" s="217" t="s">
        <v>370</v>
      </c>
      <c r="E73" s="217"/>
      <c r="F73" s="217"/>
      <c r="G73" s="217"/>
      <c r="H73" s="217"/>
      <c r="I73" s="217"/>
      <c r="J73" s="217"/>
      <c r="K73" s="144"/>
      <c r="L73" s="138"/>
    </row>
    <row r="74" spans="3:12" ht="7.8" customHeight="1" x14ac:dyDescent="0.3">
      <c r="C74" s="142"/>
      <c r="D74" s="153"/>
      <c r="E74" s="151"/>
      <c r="F74" s="151"/>
      <c r="G74" s="151"/>
      <c r="H74" s="151"/>
      <c r="I74" s="151"/>
      <c r="J74" s="151"/>
      <c r="K74" s="144"/>
      <c r="L74" s="138"/>
    </row>
    <row r="75" spans="3:12" x14ac:dyDescent="0.3">
      <c r="C75" s="142"/>
      <c r="D75" s="157" t="s">
        <v>371</v>
      </c>
      <c r="E75" s="157"/>
      <c r="F75" s="159">
        <f>IF(OR(F9="&lt; select &gt;",F9="",H9="&lt; select &gt;",H9="",F13="",F11="",H13="",H11="",F4="",H4="",J26="&lt; select &gt;"),"",IF(ABS(F77)-ABS(F67-F65)&gt;ABS(F77),0,ABS(F77)-ABS(F67-F65)))</f>
        <v>1906.8000000000002</v>
      </c>
      <c r="G75" s="151"/>
      <c r="H75" s="151" t="s">
        <v>7</v>
      </c>
      <c r="I75" s="151"/>
      <c r="J75" s="151"/>
      <c r="K75" s="144"/>
      <c r="L75" s="138"/>
    </row>
    <row r="76" spans="3:12" ht="4.2" customHeight="1" x14ac:dyDescent="0.3">
      <c r="C76" s="142"/>
      <c r="D76" s="157"/>
      <c r="E76" s="156"/>
      <c r="F76" s="152"/>
      <c r="G76" s="151"/>
      <c r="H76" s="151"/>
      <c r="I76" s="151"/>
      <c r="J76" s="151"/>
      <c r="K76" s="144"/>
      <c r="L76" s="138"/>
    </row>
    <row r="77" spans="3:12" x14ac:dyDescent="0.3">
      <c r="C77" s="142"/>
      <c r="D77" s="157" t="s">
        <v>372</v>
      </c>
      <c r="E77" s="157"/>
      <c r="F77" s="159">
        <f>IF(OR(F9="&lt; select &gt;",F9="",H9="&lt; select &gt;",H9="",F13="",F11="",H13="",H11="",F4="",H4="",J26="&lt; select &gt;"),"",ABS(H39-F39))</f>
        <v>7906.8</v>
      </c>
      <c r="G77" s="151"/>
      <c r="H77" s="151" t="s">
        <v>7</v>
      </c>
      <c r="I77" s="151"/>
      <c r="J77" s="151"/>
      <c r="K77" s="144"/>
      <c r="L77" s="138"/>
    </row>
    <row r="78" spans="3:12" ht="12.6" customHeight="1" x14ac:dyDescent="0.3">
      <c r="C78" s="142"/>
      <c r="D78" s="150"/>
      <c r="E78" s="151"/>
      <c r="F78" s="156"/>
      <c r="G78" s="151"/>
      <c r="H78" s="151"/>
      <c r="I78" s="151"/>
      <c r="J78" s="151"/>
      <c r="K78" s="144"/>
      <c r="L78" s="138"/>
    </row>
    <row r="79" spans="3:12" x14ac:dyDescent="0.3">
      <c r="C79" s="142"/>
      <c r="D79" s="145"/>
      <c r="E79" s="144"/>
      <c r="F79" s="146"/>
      <c r="G79" s="144"/>
      <c r="H79" s="144"/>
      <c r="I79" s="144"/>
      <c r="J79" s="144"/>
      <c r="K79" s="144"/>
      <c r="L79" s="138"/>
    </row>
    <row r="80" spans="3:12" ht="7.2" customHeight="1" x14ac:dyDescent="0.3">
      <c r="C80" s="142"/>
      <c r="D80" s="150"/>
      <c r="E80" s="151"/>
      <c r="F80" s="156"/>
      <c r="G80" s="151"/>
      <c r="H80" s="151"/>
      <c r="I80" s="151"/>
      <c r="J80" s="151"/>
      <c r="K80" s="144"/>
      <c r="L80" s="138"/>
    </row>
    <row r="81" spans="1:22" ht="23.4" x14ac:dyDescent="0.45">
      <c r="C81" s="142"/>
      <c r="D81" s="210" t="s">
        <v>373</v>
      </c>
      <c r="E81" s="210"/>
      <c r="F81" s="210"/>
      <c r="G81" s="210"/>
      <c r="H81" s="210"/>
      <c r="I81" s="210"/>
      <c r="J81" s="210"/>
      <c r="K81" s="143"/>
      <c r="L81" s="139"/>
    </row>
    <row r="82" spans="1:22" ht="4.2" customHeight="1" x14ac:dyDescent="0.3">
      <c r="C82" s="142"/>
      <c r="D82" s="150"/>
      <c r="E82" s="151"/>
      <c r="F82" s="151"/>
      <c r="G82" s="151"/>
      <c r="H82" s="151"/>
      <c r="I82" s="151"/>
      <c r="J82" s="151"/>
      <c r="K82" s="144"/>
      <c r="L82" s="138"/>
    </row>
    <row r="83" spans="1:22" x14ac:dyDescent="0.3">
      <c r="C83" s="142"/>
      <c r="D83" s="157" t="s">
        <v>374</v>
      </c>
      <c r="E83" s="151"/>
      <c r="F83" s="160">
        <f>IF(OR(F9="&lt; select &gt;",F9="",H9="&lt; select &gt;",H9="",F13="",F11="",H13="",H11="",F4="",H4="",J26="&lt; select &gt;"),"",IF(F57=0,0,ABS(F75/F57)))</f>
        <v>4.9259274325588747</v>
      </c>
      <c r="G83" s="151"/>
      <c r="H83" s="151" t="s">
        <v>376</v>
      </c>
      <c r="I83" s="151"/>
      <c r="J83" s="151"/>
      <c r="K83" s="144"/>
      <c r="L83" s="138"/>
    </row>
    <row r="84" spans="1:22" ht="4.8" customHeight="1" x14ac:dyDescent="0.3">
      <c r="C84" s="142"/>
      <c r="D84" s="157"/>
      <c r="E84" s="151"/>
      <c r="F84" s="152"/>
      <c r="G84" s="151"/>
      <c r="H84" s="151"/>
      <c r="I84" s="151"/>
      <c r="J84" s="151"/>
      <c r="K84" s="144"/>
      <c r="L84" s="138"/>
    </row>
    <row r="85" spans="1:22" x14ac:dyDescent="0.3">
      <c r="C85" s="142"/>
      <c r="D85" s="157" t="s">
        <v>375</v>
      </c>
      <c r="E85" s="151"/>
      <c r="F85" s="160">
        <f>IF(OR(F9="&lt; select &gt;",F9="",H9="&lt; select &gt;",H9="",F13="",F11="",H13="",H11="",F4="",H4="",J26="&lt; select &gt;"),"",IF(F57=0,0,ABS(F77/F57)))</f>
        <v>20.426013752756717</v>
      </c>
      <c r="G85" s="151"/>
      <c r="H85" s="151" t="s">
        <v>376</v>
      </c>
      <c r="I85" s="151"/>
      <c r="J85" s="151"/>
      <c r="K85" s="144"/>
      <c r="L85" s="138"/>
    </row>
    <row r="86" spans="1:22" x14ac:dyDescent="0.3">
      <c r="C86" s="142"/>
      <c r="D86" s="150"/>
      <c r="E86" s="151"/>
      <c r="F86" s="156"/>
      <c r="G86" s="151"/>
      <c r="H86" s="151"/>
      <c r="I86" s="151"/>
      <c r="J86" s="151"/>
      <c r="K86" s="144"/>
      <c r="L86" s="138"/>
    </row>
    <row r="87" spans="1:22" x14ac:dyDescent="0.3">
      <c r="C87" s="142"/>
      <c r="D87" s="142"/>
      <c r="E87" s="140"/>
      <c r="F87" s="140"/>
      <c r="G87" s="140"/>
      <c r="H87" s="140"/>
      <c r="I87" s="140"/>
      <c r="J87" s="140"/>
      <c r="K87" s="140"/>
    </row>
    <row r="89" spans="1:22" ht="15" thickBot="1" x14ac:dyDescent="0.35">
      <c r="D89" s="51"/>
      <c r="E89" s="43"/>
      <c r="F89" s="52"/>
      <c r="G89" s="52"/>
      <c r="H89" s="52"/>
      <c r="I89" s="52"/>
      <c r="J89" s="52"/>
      <c r="K89" s="43"/>
      <c r="L89" s="43"/>
      <c r="V89" s="134"/>
    </row>
    <row r="90" spans="1:22" ht="63.6" customHeight="1" thickBot="1" x14ac:dyDescent="0.35">
      <c r="D90" s="211" t="s">
        <v>332</v>
      </c>
      <c r="E90" s="212"/>
      <c r="F90" s="212"/>
      <c r="G90" s="212"/>
      <c r="H90" s="212"/>
      <c r="I90" s="212"/>
      <c r="J90" s="212"/>
      <c r="K90" s="213"/>
      <c r="L90" s="135"/>
      <c r="V90" s="134"/>
    </row>
    <row r="91" spans="1:22" x14ac:dyDescent="0.3">
      <c r="D91" s="42"/>
      <c r="E91" s="44"/>
      <c r="F91" s="53"/>
      <c r="G91" s="53"/>
      <c r="H91" s="53"/>
      <c r="I91" s="53"/>
      <c r="J91" s="53"/>
      <c r="K91" s="51"/>
      <c r="L91" s="51"/>
      <c r="V91" s="134"/>
    </row>
    <row r="92" spans="1:22" x14ac:dyDescent="0.3">
      <c r="D92" s="42"/>
      <c r="E92" s="43"/>
      <c r="F92" s="54"/>
      <c r="G92" s="54"/>
      <c r="H92" s="54"/>
      <c r="I92" s="54"/>
      <c r="J92" s="54"/>
      <c r="K92" s="51"/>
      <c r="L92" s="51"/>
      <c r="V92" s="134"/>
    </row>
    <row r="93" spans="1:22" x14ac:dyDescent="0.3">
      <c r="D93" s="51"/>
      <c r="E93" s="43"/>
      <c r="F93" s="55"/>
      <c r="G93" s="55"/>
      <c r="H93" s="55"/>
      <c r="I93" s="55"/>
      <c r="J93" s="55"/>
      <c r="K93" s="43"/>
      <c r="L93" s="43"/>
      <c r="V93" s="134"/>
    </row>
    <row r="94" spans="1:22" x14ac:dyDescent="0.3">
      <c r="A94" s="39"/>
      <c r="B94" s="39"/>
      <c r="C94" s="39"/>
      <c r="D94" s="39"/>
      <c r="E94" s="39"/>
      <c r="F94" s="39"/>
      <c r="G94" s="39"/>
      <c r="H94" s="39"/>
      <c r="I94" s="39"/>
      <c r="J94" s="39"/>
      <c r="K94" s="39"/>
      <c r="L94" s="39"/>
      <c r="M94" s="39"/>
      <c r="V94" s="134"/>
    </row>
    <row r="95" spans="1:22" x14ac:dyDescent="0.3">
      <c r="A95" s="39"/>
      <c r="B95" s="39"/>
      <c r="C95" s="39"/>
      <c r="D95" s="39"/>
      <c r="E95" s="39"/>
      <c r="F95" s="39"/>
      <c r="G95" s="39"/>
      <c r="H95" s="39"/>
      <c r="I95" s="39"/>
      <c r="J95" s="39"/>
      <c r="K95" s="39"/>
      <c r="L95" s="39"/>
      <c r="M95" s="39"/>
      <c r="V95" s="134"/>
    </row>
    <row r="96" spans="1:22" x14ac:dyDescent="0.3">
      <c r="A96" s="39"/>
      <c r="B96" s="39"/>
      <c r="C96" s="39"/>
      <c r="D96" s="39"/>
      <c r="E96" s="39"/>
      <c r="F96" s="39"/>
      <c r="G96" s="39"/>
      <c r="H96" s="39"/>
      <c r="I96" s="39"/>
      <c r="J96" s="39"/>
      <c r="K96" s="39"/>
      <c r="L96" s="39"/>
      <c r="M96" s="39"/>
      <c r="V96" s="134"/>
    </row>
    <row r="97" spans="1:22" x14ac:dyDescent="0.3">
      <c r="A97" s="39"/>
      <c r="B97" s="39"/>
      <c r="C97" s="39"/>
      <c r="D97" s="39"/>
      <c r="E97" s="39"/>
      <c r="F97" s="39"/>
      <c r="G97" s="39"/>
      <c r="H97" s="39"/>
      <c r="I97" s="39"/>
      <c r="J97" s="39"/>
      <c r="K97" s="39"/>
      <c r="L97" s="39"/>
      <c r="M97" s="39"/>
      <c r="V97" s="134"/>
    </row>
    <row r="98" spans="1:22" x14ac:dyDescent="0.3">
      <c r="A98" s="39"/>
      <c r="B98" s="39"/>
      <c r="C98" s="39"/>
      <c r="D98" s="39"/>
      <c r="E98" s="39"/>
      <c r="F98" s="39"/>
      <c r="G98" s="39"/>
      <c r="H98" s="39"/>
      <c r="I98" s="39"/>
      <c r="J98" s="39"/>
      <c r="K98" s="39"/>
      <c r="L98" s="39"/>
      <c r="M98" s="39"/>
      <c r="V98" s="134"/>
    </row>
    <row r="99" spans="1:22" x14ac:dyDescent="0.3">
      <c r="A99" s="39"/>
      <c r="B99" s="39"/>
      <c r="C99" s="39"/>
      <c r="D99" s="39"/>
      <c r="E99" s="39"/>
      <c r="F99" s="39"/>
      <c r="G99" s="39"/>
      <c r="H99" s="39"/>
      <c r="I99" s="39"/>
      <c r="J99" s="39"/>
      <c r="K99" s="39"/>
      <c r="L99" s="39"/>
      <c r="M99" s="39"/>
      <c r="V99" s="134"/>
    </row>
    <row r="100" spans="1:22" x14ac:dyDescent="0.3">
      <c r="A100" s="39"/>
      <c r="B100" s="39"/>
      <c r="C100" s="39"/>
      <c r="D100" s="39"/>
      <c r="E100" s="39"/>
      <c r="F100" s="39"/>
      <c r="G100" s="39"/>
      <c r="H100" s="39"/>
      <c r="I100" s="39"/>
      <c r="J100" s="39"/>
      <c r="K100" s="39"/>
      <c r="L100" s="39"/>
      <c r="M100" s="39"/>
      <c r="V100" s="134"/>
    </row>
    <row r="101" spans="1:22" x14ac:dyDescent="0.3">
      <c r="A101" s="39"/>
      <c r="B101" s="39"/>
      <c r="C101" s="39"/>
      <c r="D101" s="39"/>
      <c r="E101" s="39"/>
      <c r="F101" s="39"/>
      <c r="G101" s="39"/>
      <c r="H101" s="39"/>
      <c r="I101" s="39"/>
      <c r="J101" s="39"/>
      <c r="K101" s="39"/>
      <c r="L101" s="39"/>
      <c r="M101" s="39"/>
      <c r="V101" s="134"/>
    </row>
    <row r="102" spans="1:22" x14ac:dyDescent="0.3">
      <c r="A102" s="39"/>
      <c r="B102" s="39"/>
      <c r="C102" s="39"/>
      <c r="D102" s="39"/>
      <c r="E102" s="39"/>
      <c r="F102" s="39"/>
      <c r="G102" s="39"/>
      <c r="H102" s="39"/>
      <c r="I102" s="39"/>
      <c r="J102" s="39"/>
      <c r="K102" s="39"/>
      <c r="L102" s="39"/>
      <c r="M102" s="39"/>
      <c r="V102" s="134"/>
    </row>
    <row r="103" spans="1:22" x14ac:dyDescent="0.3">
      <c r="A103" s="39"/>
      <c r="B103" s="39"/>
      <c r="C103" s="39"/>
      <c r="D103" s="39"/>
      <c r="E103" s="39"/>
      <c r="F103" s="39"/>
      <c r="G103" s="39"/>
      <c r="H103" s="39"/>
      <c r="I103" s="39"/>
      <c r="J103" s="39"/>
      <c r="K103" s="39"/>
      <c r="L103" s="39"/>
      <c r="M103" s="39"/>
      <c r="V103" s="134"/>
    </row>
    <row r="104" spans="1:22" x14ac:dyDescent="0.3">
      <c r="A104" s="39"/>
      <c r="B104" s="39"/>
      <c r="C104" s="39"/>
      <c r="D104" s="39"/>
      <c r="E104" s="39"/>
      <c r="F104" s="39"/>
      <c r="G104" s="39"/>
      <c r="H104" s="39"/>
      <c r="I104" s="39"/>
      <c r="J104" s="39"/>
      <c r="K104" s="39"/>
      <c r="L104" s="39"/>
      <c r="M104" s="39"/>
      <c r="V104" s="134"/>
    </row>
    <row r="105" spans="1:22" x14ac:dyDescent="0.3">
      <c r="A105" s="39"/>
      <c r="B105" s="39"/>
      <c r="C105" s="39"/>
      <c r="D105" s="39"/>
      <c r="E105" s="39"/>
      <c r="F105" s="39"/>
      <c r="G105" s="39"/>
      <c r="H105" s="39"/>
      <c r="I105" s="39"/>
      <c r="J105" s="39"/>
      <c r="K105" s="39"/>
      <c r="L105" s="39"/>
      <c r="M105" s="39"/>
      <c r="V105" s="134"/>
    </row>
    <row r="106" spans="1:22" x14ac:dyDescent="0.3">
      <c r="A106" s="39"/>
      <c r="B106" s="39"/>
      <c r="C106" s="39"/>
      <c r="D106" s="39"/>
      <c r="E106" s="39"/>
      <c r="F106" s="39"/>
      <c r="G106" s="39"/>
      <c r="H106" s="39"/>
      <c r="I106" s="39"/>
      <c r="J106" s="39"/>
      <c r="K106" s="39"/>
      <c r="L106" s="39"/>
      <c r="M106" s="39"/>
      <c r="V106" s="134"/>
    </row>
    <row r="107" spans="1:22" x14ac:dyDescent="0.3">
      <c r="A107" s="39"/>
      <c r="B107" s="39"/>
      <c r="C107" s="39"/>
      <c r="D107" s="39"/>
      <c r="E107" s="39"/>
      <c r="F107" s="39"/>
      <c r="G107" s="39"/>
      <c r="H107" s="39"/>
      <c r="I107" s="39"/>
      <c r="J107" s="39"/>
      <c r="K107" s="39"/>
      <c r="L107" s="39"/>
      <c r="M107" s="39"/>
      <c r="V107" s="134"/>
    </row>
    <row r="108" spans="1:22" x14ac:dyDescent="0.3">
      <c r="A108" s="39"/>
      <c r="B108" s="39"/>
      <c r="C108" s="39"/>
      <c r="D108" s="39"/>
      <c r="E108" s="39"/>
      <c r="F108" s="39"/>
      <c r="G108" s="39"/>
      <c r="H108" s="39"/>
      <c r="I108" s="39"/>
      <c r="J108" s="39"/>
      <c r="K108" s="39"/>
      <c r="L108" s="39"/>
      <c r="M108" s="39"/>
      <c r="V108" s="134"/>
    </row>
    <row r="109" spans="1:22" x14ac:dyDescent="0.3">
      <c r="A109" s="39"/>
      <c r="B109" s="39"/>
      <c r="C109" s="39"/>
      <c r="D109" s="39"/>
      <c r="E109" s="39"/>
      <c r="F109" s="39"/>
      <c r="G109" s="39"/>
      <c r="H109" s="39"/>
      <c r="I109" s="39"/>
      <c r="J109" s="39"/>
      <c r="K109" s="39"/>
      <c r="L109" s="39"/>
      <c r="M109" s="39"/>
      <c r="V109" s="134"/>
    </row>
    <row r="110" spans="1:22" x14ac:dyDescent="0.3">
      <c r="A110" s="39"/>
      <c r="B110" s="39"/>
      <c r="C110" s="39"/>
      <c r="D110" s="39"/>
      <c r="E110" s="39"/>
      <c r="F110" s="39"/>
      <c r="G110" s="39"/>
      <c r="H110" s="39"/>
      <c r="I110" s="39"/>
      <c r="J110" s="39"/>
      <c r="K110" s="39"/>
      <c r="L110" s="39"/>
      <c r="M110" s="39"/>
      <c r="V110" s="134"/>
    </row>
    <row r="111" spans="1:22" x14ac:dyDescent="0.3">
      <c r="A111" s="39"/>
      <c r="B111" s="39"/>
      <c r="C111" s="39"/>
      <c r="D111" s="39"/>
      <c r="E111" s="39"/>
      <c r="F111" s="39"/>
      <c r="G111" s="39"/>
      <c r="H111" s="39"/>
      <c r="I111" s="39"/>
      <c r="J111" s="39"/>
      <c r="K111" s="39"/>
      <c r="L111" s="39"/>
      <c r="M111" s="39"/>
      <c r="V111" s="134"/>
    </row>
    <row r="112" spans="1:22" x14ac:dyDescent="0.3">
      <c r="A112" s="39"/>
      <c r="B112" s="39"/>
      <c r="C112" s="39"/>
      <c r="D112" s="39"/>
      <c r="E112" s="39"/>
      <c r="F112" s="39"/>
      <c r="G112" s="39"/>
      <c r="H112" s="39"/>
      <c r="I112" s="39"/>
      <c r="J112" s="39"/>
      <c r="K112" s="39"/>
      <c r="L112" s="39"/>
      <c r="M112" s="39"/>
      <c r="V112" s="134"/>
    </row>
    <row r="113" spans="5:22" s="39" customFormat="1" x14ac:dyDescent="0.3">
      <c r="V113" s="134"/>
    </row>
    <row r="114" spans="5:22" s="39" customFormat="1" x14ac:dyDescent="0.3">
      <c r="E114" s="41"/>
      <c r="F114" s="41"/>
      <c r="G114" s="41"/>
      <c r="H114" s="41"/>
      <c r="I114" s="41"/>
      <c r="J114" s="41"/>
      <c r="K114" s="41"/>
      <c r="L114" s="41"/>
      <c r="V114" s="134"/>
    </row>
    <row r="115" spans="5:22" s="39" customFormat="1" x14ac:dyDescent="0.3">
      <c r="E115" s="41"/>
      <c r="F115" s="41"/>
      <c r="G115" s="41"/>
      <c r="H115" s="41"/>
      <c r="I115" s="41"/>
      <c r="J115" s="41"/>
      <c r="K115" s="41"/>
      <c r="L115" s="41"/>
      <c r="V115" s="134"/>
    </row>
    <row r="116" spans="5:22" s="39" customFormat="1" x14ac:dyDescent="0.3">
      <c r="E116" s="41"/>
      <c r="F116" s="41"/>
      <c r="G116" s="41"/>
      <c r="H116" s="41"/>
      <c r="I116" s="41"/>
      <c r="J116" s="41"/>
      <c r="K116" s="41"/>
      <c r="L116" s="41"/>
      <c r="V116" s="134"/>
    </row>
    <row r="117" spans="5:22" s="39" customFormat="1" x14ac:dyDescent="0.3">
      <c r="E117" s="41"/>
      <c r="F117" s="41"/>
      <c r="G117" s="41"/>
      <c r="H117" s="41"/>
      <c r="I117" s="41"/>
      <c r="J117" s="41"/>
      <c r="K117" s="41"/>
      <c r="L117" s="41"/>
      <c r="V117" s="134"/>
    </row>
    <row r="118" spans="5:22" s="39" customFormat="1" x14ac:dyDescent="0.3">
      <c r="E118" s="41"/>
      <c r="F118" s="41"/>
      <c r="G118" s="41"/>
      <c r="H118" s="41"/>
      <c r="I118" s="41"/>
      <c r="J118" s="41"/>
      <c r="K118" s="41"/>
      <c r="L118" s="41"/>
      <c r="V118" s="134"/>
    </row>
    <row r="119" spans="5:22" s="39" customFormat="1" x14ac:dyDescent="0.3">
      <c r="E119" s="41"/>
      <c r="F119" s="41"/>
      <c r="G119" s="41"/>
      <c r="H119" s="41"/>
      <c r="I119" s="41"/>
      <c r="J119" s="41"/>
      <c r="K119" s="41"/>
      <c r="L119" s="41"/>
      <c r="V119" s="134"/>
    </row>
    <row r="120" spans="5:22" s="39" customFormat="1" x14ac:dyDescent="0.3">
      <c r="E120" s="41"/>
      <c r="F120" s="41"/>
      <c r="G120" s="41"/>
      <c r="H120" s="41"/>
      <c r="I120" s="41"/>
      <c r="J120" s="41"/>
      <c r="K120" s="41"/>
      <c r="L120" s="41"/>
      <c r="V120" s="134"/>
    </row>
    <row r="121" spans="5:22" s="39" customFormat="1" x14ac:dyDescent="0.3">
      <c r="E121" s="41"/>
      <c r="F121" s="41"/>
      <c r="G121" s="41"/>
      <c r="H121" s="41"/>
      <c r="I121" s="41"/>
      <c r="J121" s="41"/>
      <c r="K121" s="41"/>
      <c r="L121" s="41"/>
      <c r="V121" s="134"/>
    </row>
    <row r="122" spans="5:22" s="39" customFormat="1" x14ac:dyDescent="0.3">
      <c r="E122" s="41"/>
      <c r="F122" s="41"/>
      <c r="G122" s="41"/>
      <c r="H122" s="41"/>
      <c r="I122" s="41"/>
      <c r="J122" s="41"/>
      <c r="K122" s="41"/>
      <c r="L122" s="41"/>
      <c r="V122" s="134"/>
    </row>
    <row r="123" spans="5:22" s="39" customFormat="1" x14ac:dyDescent="0.3">
      <c r="E123" s="41"/>
      <c r="F123" s="41"/>
      <c r="G123" s="41"/>
      <c r="H123" s="41"/>
      <c r="I123" s="41"/>
      <c r="J123" s="41"/>
      <c r="K123" s="41"/>
      <c r="L123" s="41"/>
      <c r="V123" s="134"/>
    </row>
    <row r="124" spans="5:22" s="39" customFormat="1" x14ac:dyDescent="0.3">
      <c r="E124" s="41"/>
      <c r="F124" s="41"/>
      <c r="G124" s="41"/>
      <c r="H124" s="41"/>
      <c r="I124" s="41"/>
      <c r="J124" s="41"/>
      <c r="K124" s="41"/>
      <c r="L124" s="41"/>
      <c r="V124" s="134"/>
    </row>
    <row r="125" spans="5:22" s="39" customFormat="1" x14ac:dyDescent="0.3">
      <c r="E125" s="41"/>
      <c r="F125" s="41"/>
      <c r="G125" s="41"/>
      <c r="H125" s="41"/>
      <c r="I125" s="41"/>
      <c r="J125" s="41"/>
      <c r="K125" s="41"/>
      <c r="L125" s="41"/>
      <c r="V125" s="134"/>
    </row>
    <row r="126" spans="5:22" s="39" customFormat="1" x14ac:dyDescent="0.3">
      <c r="E126" s="41"/>
      <c r="F126" s="41"/>
      <c r="G126" s="41"/>
      <c r="H126" s="41"/>
      <c r="I126" s="41"/>
      <c r="J126" s="41"/>
      <c r="K126" s="41"/>
      <c r="L126" s="41"/>
      <c r="N126" s="133"/>
      <c r="O126" s="134"/>
      <c r="P126" s="134"/>
      <c r="Q126" s="134"/>
      <c r="R126" s="134"/>
      <c r="S126" s="134"/>
      <c r="T126" s="134"/>
      <c r="U126" s="134"/>
      <c r="V126" s="134"/>
    </row>
    <row r="127" spans="5:22" s="39" customFormat="1" x14ac:dyDescent="0.3">
      <c r="E127" s="41"/>
      <c r="F127" s="41"/>
      <c r="G127" s="41"/>
      <c r="H127" s="41"/>
      <c r="I127" s="41"/>
      <c r="J127" s="41"/>
      <c r="K127" s="41"/>
      <c r="L127" s="41"/>
    </row>
    <row r="128" spans="5:22" s="39" customFormat="1" x14ac:dyDescent="0.3">
      <c r="E128" s="41"/>
      <c r="F128" s="41"/>
      <c r="G128" s="41"/>
      <c r="H128" s="41"/>
      <c r="I128" s="41"/>
      <c r="J128" s="41"/>
      <c r="K128" s="41"/>
      <c r="L128" s="41"/>
    </row>
    <row r="129" spans="5:12" s="39" customFormat="1" x14ac:dyDescent="0.3">
      <c r="E129" s="41"/>
      <c r="F129" s="41"/>
      <c r="G129" s="41"/>
      <c r="H129" s="41"/>
      <c r="I129" s="41"/>
      <c r="J129" s="41"/>
      <c r="K129" s="41"/>
      <c r="L129" s="41"/>
    </row>
    <row r="130" spans="5:12" s="39" customFormat="1" x14ac:dyDescent="0.3">
      <c r="E130" s="41"/>
      <c r="F130" s="41"/>
      <c r="G130" s="41"/>
      <c r="H130" s="41"/>
      <c r="I130" s="41"/>
      <c r="J130" s="41"/>
      <c r="K130" s="41"/>
      <c r="L130" s="41"/>
    </row>
    <row r="131" spans="5:12" s="39" customFormat="1" x14ac:dyDescent="0.3">
      <c r="E131" s="41"/>
      <c r="F131" s="41"/>
      <c r="G131" s="41"/>
      <c r="H131" s="41"/>
      <c r="I131" s="41"/>
      <c r="J131" s="41"/>
      <c r="K131" s="41"/>
      <c r="L131" s="41"/>
    </row>
    <row r="132" spans="5:12" s="39" customFormat="1" x14ac:dyDescent="0.3">
      <c r="E132" s="41"/>
      <c r="F132" s="41"/>
      <c r="G132" s="41"/>
      <c r="H132" s="41"/>
      <c r="I132" s="41"/>
      <c r="J132" s="41"/>
      <c r="K132" s="41"/>
      <c r="L132" s="41"/>
    </row>
    <row r="133" spans="5:12" s="39" customFormat="1" x14ac:dyDescent="0.3">
      <c r="E133" s="41"/>
      <c r="F133" s="41"/>
      <c r="G133" s="41"/>
      <c r="H133" s="41"/>
      <c r="I133" s="41"/>
      <c r="J133" s="41"/>
      <c r="K133" s="41"/>
      <c r="L133" s="41"/>
    </row>
    <row r="134" spans="5:12" s="39" customFormat="1" x14ac:dyDescent="0.3">
      <c r="E134" s="41"/>
      <c r="F134" s="41"/>
      <c r="G134" s="41"/>
      <c r="H134" s="41"/>
      <c r="I134" s="41"/>
      <c r="J134" s="41"/>
      <c r="K134" s="41"/>
      <c r="L134" s="41"/>
    </row>
    <row r="135" spans="5:12" s="39" customFormat="1" x14ac:dyDescent="0.3">
      <c r="E135" s="41"/>
      <c r="F135" s="41"/>
      <c r="G135" s="41"/>
      <c r="H135" s="41"/>
      <c r="I135" s="41"/>
      <c r="J135" s="41"/>
      <c r="K135" s="41"/>
      <c r="L135" s="41"/>
    </row>
    <row r="136" spans="5:12" s="39" customFormat="1" x14ac:dyDescent="0.3">
      <c r="E136" s="41"/>
      <c r="F136" s="41"/>
      <c r="G136" s="41"/>
      <c r="H136" s="41"/>
      <c r="I136" s="41"/>
      <c r="J136" s="41"/>
      <c r="K136" s="41"/>
      <c r="L136" s="41"/>
    </row>
    <row r="137" spans="5:12" s="39" customFormat="1" x14ac:dyDescent="0.3">
      <c r="E137" s="41"/>
      <c r="F137" s="41"/>
      <c r="G137" s="41"/>
      <c r="H137" s="41"/>
      <c r="I137" s="41"/>
      <c r="J137" s="41"/>
      <c r="K137" s="41"/>
      <c r="L137" s="41"/>
    </row>
    <row r="138" spans="5:12" s="39" customFormat="1" x14ac:dyDescent="0.3">
      <c r="E138" s="41"/>
      <c r="F138" s="41"/>
      <c r="G138" s="41"/>
      <c r="H138" s="41"/>
      <c r="I138" s="41"/>
      <c r="J138" s="41"/>
      <c r="K138" s="41"/>
      <c r="L138" s="41"/>
    </row>
    <row r="139" spans="5:12" s="39" customFormat="1" x14ac:dyDescent="0.3">
      <c r="E139" s="41"/>
      <c r="F139" s="41"/>
      <c r="G139" s="41"/>
      <c r="H139" s="41"/>
      <c r="I139" s="41"/>
      <c r="J139" s="41"/>
      <c r="K139" s="41"/>
      <c r="L139" s="41"/>
    </row>
    <row r="140" spans="5:12" s="39" customFormat="1" x14ac:dyDescent="0.3">
      <c r="E140" s="41"/>
      <c r="F140" s="41"/>
      <c r="G140" s="41"/>
      <c r="H140" s="41"/>
      <c r="I140" s="41"/>
      <c r="J140" s="41"/>
      <c r="K140" s="41"/>
      <c r="L140" s="41"/>
    </row>
    <row r="141" spans="5:12" s="39" customFormat="1" x14ac:dyDescent="0.3">
      <c r="E141" s="41"/>
      <c r="F141" s="41"/>
      <c r="G141" s="41"/>
      <c r="H141" s="41"/>
      <c r="I141" s="41"/>
      <c r="J141" s="41"/>
      <c r="K141" s="41"/>
      <c r="L141" s="41"/>
    </row>
    <row r="142" spans="5:12" s="39" customFormat="1" x14ac:dyDescent="0.3">
      <c r="E142" s="41"/>
      <c r="F142" s="41"/>
      <c r="G142" s="41"/>
      <c r="H142" s="41"/>
      <c r="I142" s="41"/>
      <c r="J142" s="41"/>
      <c r="K142" s="41"/>
      <c r="L142" s="41"/>
    </row>
    <row r="143" spans="5:12" s="39" customFormat="1" x14ac:dyDescent="0.3">
      <c r="E143" s="41"/>
      <c r="F143" s="41"/>
      <c r="G143" s="41"/>
      <c r="H143" s="41"/>
      <c r="I143" s="41"/>
      <c r="J143" s="41"/>
      <c r="K143" s="41"/>
      <c r="L143" s="41"/>
    </row>
    <row r="144" spans="5:12" s="39" customFormat="1" x14ac:dyDescent="0.3">
      <c r="E144" s="41"/>
      <c r="F144" s="41"/>
      <c r="G144" s="41"/>
      <c r="H144" s="41"/>
      <c r="I144" s="41"/>
      <c r="J144" s="41"/>
      <c r="K144" s="41"/>
      <c r="L144" s="41"/>
    </row>
    <row r="145" spans="5:12" s="39" customFormat="1" x14ac:dyDescent="0.3">
      <c r="E145" s="41"/>
      <c r="F145" s="41"/>
      <c r="G145" s="41"/>
      <c r="H145" s="41"/>
      <c r="I145" s="41"/>
      <c r="J145" s="41"/>
      <c r="K145" s="41"/>
      <c r="L145" s="41"/>
    </row>
    <row r="146" spans="5:12" s="39" customFormat="1" x14ac:dyDescent="0.3">
      <c r="E146" s="41"/>
      <c r="F146" s="41"/>
      <c r="G146" s="41"/>
      <c r="H146" s="41"/>
      <c r="I146" s="41"/>
      <c r="J146" s="41"/>
      <c r="K146" s="41"/>
      <c r="L146" s="41"/>
    </row>
    <row r="147" spans="5:12" s="39" customFormat="1" x14ac:dyDescent="0.3">
      <c r="E147" s="41"/>
      <c r="F147" s="41"/>
      <c r="G147" s="41"/>
      <c r="H147" s="41"/>
      <c r="I147" s="41"/>
      <c r="J147" s="41"/>
      <c r="K147" s="41"/>
      <c r="L147" s="41"/>
    </row>
    <row r="148" spans="5:12" s="39" customFormat="1" x14ac:dyDescent="0.3">
      <c r="E148" s="41"/>
      <c r="F148" s="41"/>
      <c r="G148" s="41"/>
      <c r="H148" s="41"/>
      <c r="I148" s="41"/>
      <c r="J148" s="41"/>
      <c r="K148" s="41"/>
      <c r="L148" s="41"/>
    </row>
    <row r="149" spans="5:12" s="39" customFormat="1" x14ac:dyDescent="0.3">
      <c r="E149" s="41"/>
      <c r="F149" s="41"/>
      <c r="G149" s="41"/>
      <c r="H149" s="41"/>
      <c r="I149" s="41"/>
      <c r="J149" s="41"/>
      <c r="K149" s="41"/>
      <c r="L149" s="41"/>
    </row>
    <row r="150" spans="5:12" s="39" customFormat="1" x14ac:dyDescent="0.3">
      <c r="E150" s="41"/>
      <c r="F150" s="41"/>
      <c r="G150" s="41"/>
      <c r="H150" s="41"/>
      <c r="I150" s="41"/>
      <c r="J150" s="41"/>
      <c r="K150" s="41"/>
      <c r="L150" s="41"/>
    </row>
    <row r="151" spans="5:12" s="39" customFormat="1" x14ac:dyDescent="0.3">
      <c r="E151" s="41"/>
      <c r="F151" s="41"/>
      <c r="G151" s="41"/>
      <c r="H151" s="41"/>
      <c r="I151" s="41"/>
      <c r="J151" s="41"/>
      <c r="K151" s="41"/>
      <c r="L151" s="41"/>
    </row>
    <row r="152" spans="5:12" s="39" customFormat="1" x14ac:dyDescent="0.3">
      <c r="E152" s="41"/>
      <c r="F152" s="41"/>
      <c r="G152" s="41"/>
      <c r="H152" s="41"/>
      <c r="I152" s="41"/>
      <c r="J152" s="41"/>
      <c r="K152" s="41"/>
      <c r="L152" s="41"/>
    </row>
    <row r="153" spans="5:12" s="39" customFormat="1" x14ac:dyDescent="0.3">
      <c r="E153" s="41"/>
      <c r="F153" s="41"/>
      <c r="G153" s="41"/>
      <c r="H153" s="41"/>
      <c r="I153" s="41"/>
      <c r="J153" s="41"/>
      <c r="K153" s="41"/>
      <c r="L153" s="41"/>
    </row>
    <row r="154" spans="5:12" s="39" customFormat="1" x14ac:dyDescent="0.3">
      <c r="E154" s="41"/>
      <c r="F154" s="41"/>
      <c r="G154" s="41"/>
      <c r="H154" s="41"/>
      <c r="I154" s="41"/>
      <c r="J154" s="41"/>
      <c r="K154" s="41"/>
      <c r="L154" s="41"/>
    </row>
    <row r="155" spans="5:12" s="39" customFormat="1" x14ac:dyDescent="0.3">
      <c r="E155" s="41"/>
      <c r="F155" s="41"/>
      <c r="G155" s="41"/>
      <c r="H155" s="41"/>
      <c r="I155" s="41"/>
      <c r="J155" s="41"/>
      <c r="K155" s="41"/>
      <c r="L155" s="41"/>
    </row>
    <row r="156" spans="5:12" s="39" customFormat="1" x14ac:dyDescent="0.3">
      <c r="E156" s="41"/>
      <c r="F156" s="41"/>
      <c r="G156" s="41"/>
      <c r="H156" s="41"/>
      <c r="I156" s="41"/>
      <c r="J156" s="41"/>
      <c r="K156" s="41"/>
      <c r="L156" s="41"/>
    </row>
    <row r="157" spans="5:12" s="39" customFormat="1" x14ac:dyDescent="0.3">
      <c r="E157" s="41"/>
      <c r="F157" s="41"/>
      <c r="G157" s="41"/>
      <c r="H157" s="41"/>
      <c r="I157" s="41"/>
      <c r="J157" s="41"/>
      <c r="K157" s="41"/>
      <c r="L157" s="41"/>
    </row>
    <row r="158" spans="5:12" s="39" customFormat="1" x14ac:dyDescent="0.3">
      <c r="E158" s="41"/>
      <c r="F158" s="41"/>
      <c r="G158" s="41"/>
      <c r="H158" s="41"/>
      <c r="I158" s="41"/>
      <c r="J158" s="41"/>
      <c r="K158" s="41"/>
      <c r="L158" s="41"/>
    </row>
    <row r="159" spans="5:12" s="39" customFormat="1" x14ac:dyDescent="0.3">
      <c r="E159" s="41"/>
      <c r="F159" s="41"/>
      <c r="G159" s="41"/>
      <c r="H159" s="41"/>
      <c r="I159" s="41"/>
      <c r="J159" s="41"/>
      <c r="K159" s="41"/>
      <c r="L159" s="41"/>
    </row>
    <row r="160" spans="5:12" s="39" customFormat="1" x14ac:dyDescent="0.3">
      <c r="E160" s="41"/>
      <c r="F160" s="41"/>
      <c r="G160" s="41"/>
      <c r="H160" s="41"/>
      <c r="I160" s="41"/>
      <c r="J160" s="41"/>
      <c r="K160" s="41"/>
      <c r="L160" s="41"/>
    </row>
    <row r="161" spans="5:12" s="39" customFormat="1" x14ac:dyDescent="0.3">
      <c r="E161" s="41"/>
      <c r="F161" s="41"/>
      <c r="G161" s="41"/>
      <c r="H161" s="41"/>
      <c r="I161" s="41"/>
      <c r="J161" s="41"/>
      <c r="K161" s="41"/>
      <c r="L161" s="41"/>
    </row>
    <row r="162" spans="5:12" s="39" customFormat="1" x14ac:dyDescent="0.3">
      <c r="E162" s="41"/>
      <c r="F162" s="41"/>
      <c r="G162" s="41"/>
      <c r="H162" s="41"/>
      <c r="I162" s="41"/>
      <c r="J162" s="41"/>
      <c r="K162" s="41"/>
      <c r="L162" s="41"/>
    </row>
    <row r="163" spans="5:12" s="39" customFormat="1" x14ac:dyDescent="0.3">
      <c r="E163" s="41"/>
      <c r="F163" s="41"/>
      <c r="G163" s="41"/>
      <c r="H163" s="41"/>
      <c r="I163" s="41"/>
      <c r="J163" s="41"/>
      <c r="K163" s="41"/>
      <c r="L163" s="41"/>
    </row>
    <row r="164" spans="5:12" s="39" customFormat="1" x14ac:dyDescent="0.3">
      <c r="E164" s="41"/>
      <c r="F164" s="41"/>
      <c r="G164" s="41"/>
      <c r="H164" s="41"/>
      <c r="I164" s="41"/>
      <c r="J164" s="41"/>
      <c r="K164" s="41"/>
      <c r="L164" s="41"/>
    </row>
    <row r="165" spans="5:12" s="39" customFormat="1" x14ac:dyDescent="0.3">
      <c r="E165" s="41"/>
      <c r="F165" s="41"/>
      <c r="G165" s="41"/>
      <c r="H165" s="41"/>
      <c r="I165" s="41"/>
      <c r="J165" s="41"/>
      <c r="K165" s="41"/>
      <c r="L165" s="41"/>
    </row>
    <row r="166" spans="5:12" s="39" customFormat="1" x14ac:dyDescent="0.3">
      <c r="E166" s="41"/>
      <c r="F166" s="41"/>
      <c r="G166" s="41"/>
      <c r="H166" s="41"/>
      <c r="I166" s="41"/>
      <c r="J166" s="41"/>
      <c r="K166" s="41"/>
      <c r="L166" s="41"/>
    </row>
    <row r="167" spans="5:12" s="39" customFormat="1" x14ac:dyDescent="0.3">
      <c r="E167" s="41"/>
      <c r="F167" s="41"/>
      <c r="G167" s="41"/>
      <c r="H167" s="41"/>
      <c r="I167" s="41"/>
      <c r="J167" s="41"/>
      <c r="K167" s="41"/>
      <c r="L167" s="41"/>
    </row>
    <row r="168" spans="5:12" s="39" customFormat="1" x14ac:dyDescent="0.3">
      <c r="E168" s="41"/>
      <c r="F168" s="41"/>
      <c r="G168" s="41"/>
      <c r="H168" s="41"/>
      <c r="I168" s="41"/>
      <c r="J168" s="41"/>
      <c r="K168" s="41"/>
      <c r="L168" s="41"/>
    </row>
    <row r="169" spans="5:12" s="39" customFormat="1" x14ac:dyDescent="0.3">
      <c r="E169" s="41"/>
      <c r="F169" s="41"/>
      <c r="G169" s="41"/>
      <c r="H169" s="41"/>
      <c r="I169" s="41"/>
      <c r="J169" s="41"/>
      <c r="K169" s="41"/>
      <c r="L169" s="41"/>
    </row>
    <row r="170" spans="5:12" s="39" customFormat="1" x14ac:dyDescent="0.3">
      <c r="E170" s="41"/>
      <c r="F170" s="41"/>
      <c r="G170" s="41"/>
      <c r="H170" s="41"/>
      <c r="I170" s="41"/>
      <c r="J170" s="41"/>
      <c r="K170" s="41"/>
      <c r="L170" s="41"/>
    </row>
    <row r="171" spans="5:12" s="39" customFormat="1" x14ac:dyDescent="0.3">
      <c r="E171" s="41"/>
      <c r="F171" s="41"/>
      <c r="G171" s="41"/>
      <c r="H171" s="41"/>
      <c r="I171" s="41"/>
      <c r="J171" s="41"/>
      <c r="K171" s="41"/>
      <c r="L171" s="41"/>
    </row>
    <row r="172" spans="5:12" s="39" customFormat="1" x14ac:dyDescent="0.3">
      <c r="E172" s="41"/>
      <c r="F172" s="41"/>
      <c r="G172" s="41"/>
      <c r="H172" s="41"/>
      <c r="I172" s="41"/>
      <c r="J172" s="41"/>
      <c r="K172" s="41"/>
      <c r="L172" s="41"/>
    </row>
    <row r="173" spans="5:12" s="39" customFormat="1" x14ac:dyDescent="0.3">
      <c r="E173" s="41"/>
      <c r="F173" s="41"/>
      <c r="G173" s="41"/>
      <c r="H173" s="41"/>
      <c r="I173" s="41"/>
      <c r="J173" s="41"/>
      <c r="K173" s="41"/>
      <c r="L173" s="41"/>
    </row>
    <row r="174" spans="5:12" s="39" customFormat="1" x14ac:dyDescent="0.3">
      <c r="E174" s="41"/>
      <c r="F174" s="41"/>
      <c r="G174" s="41"/>
      <c r="H174" s="41"/>
      <c r="I174" s="41"/>
      <c r="J174" s="41"/>
      <c r="K174" s="41"/>
      <c r="L174" s="41"/>
    </row>
    <row r="175" spans="5:12" s="39" customFormat="1" x14ac:dyDescent="0.3">
      <c r="E175" s="41"/>
      <c r="F175" s="41"/>
      <c r="G175" s="41"/>
      <c r="H175" s="41"/>
      <c r="I175" s="41"/>
      <c r="J175" s="41"/>
      <c r="K175" s="41"/>
      <c r="L175" s="41"/>
    </row>
    <row r="176" spans="5:12" s="39" customFormat="1" x14ac:dyDescent="0.3">
      <c r="E176" s="41"/>
      <c r="F176" s="41"/>
      <c r="G176" s="41"/>
      <c r="H176" s="41"/>
      <c r="I176" s="41"/>
      <c r="J176" s="41"/>
      <c r="K176" s="41"/>
      <c r="L176" s="41"/>
    </row>
    <row r="177" spans="5:12" s="39" customFormat="1" x14ac:dyDescent="0.3">
      <c r="E177" s="41"/>
      <c r="F177" s="41"/>
      <c r="G177" s="41"/>
      <c r="H177" s="41"/>
      <c r="I177" s="41"/>
      <c r="J177" s="41"/>
      <c r="K177" s="41"/>
      <c r="L177" s="41"/>
    </row>
    <row r="178" spans="5:12" s="39" customFormat="1" x14ac:dyDescent="0.3">
      <c r="E178" s="41"/>
      <c r="F178" s="41"/>
      <c r="G178" s="41"/>
      <c r="H178" s="41"/>
      <c r="I178" s="41"/>
      <c r="J178" s="41"/>
      <c r="K178" s="41"/>
      <c r="L178" s="41"/>
    </row>
    <row r="179" spans="5:12" s="39" customFormat="1" x14ac:dyDescent="0.3">
      <c r="E179" s="41"/>
      <c r="F179" s="41"/>
      <c r="G179" s="41"/>
      <c r="H179" s="41"/>
      <c r="I179" s="41"/>
      <c r="J179" s="41"/>
      <c r="K179" s="41"/>
      <c r="L179" s="41"/>
    </row>
    <row r="180" spans="5:12" s="39" customFormat="1" x14ac:dyDescent="0.3">
      <c r="E180" s="41"/>
      <c r="F180" s="41"/>
      <c r="G180" s="41"/>
      <c r="H180" s="41"/>
      <c r="I180" s="41"/>
      <c r="J180" s="41"/>
      <c r="K180" s="41"/>
      <c r="L180" s="41"/>
    </row>
    <row r="181" spans="5:12" s="39" customFormat="1" x14ac:dyDescent="0.3">
      <c r="E181" s="41"/>
      <c r="F181" s="41"/>
      <c r="G181" s="41"/>
      <c r="H181" s="41"/>
      <c r="I181" s="41"/>
      <c r="J181" s="41"/>
      <c r="K181" s="41"/>
      <c r="L181" s="41"/>
    </row>
    <row r="182" spans="5:12" s="39" customFormat="1" x14ac:dyDescent="0.3">
      <c r="E182" s="41"/>
      <c r="F182" s="41"/>
      <c r="G182" s="41"/>
      <c r="H182" s="41"/>
      <c r="I182" s="41"/>
      <c r="J182" s="41"/>
      <c r="K182" s="41"/>
      <c r="L182" s="41"/>
    </row>
    <row r="183" spans="5:12" s="39" customFormat="1" x14ac:dyDescent="0.3">
      <c r="E183" s="41"/>
      <c r="F183" s="41"/>
      <c r="G183" s="41"/>
      <c r="H183" s="41"/>
      <c r="I183" s="41"/>
      <c r="J183" s="41"/>
      <c r="K183" s="41"/>
      <c r="L183" s="41"/>
    </row>
    <row r="184" spans="5:12" s="39" customFormat="1" x14ac:dyDescent="0.3">
      <c r="E184" s="41"/>
      <c r="F184" s="41"/>
      <c r="G184" s="41"/>
      <c r="H184" s="41"/>
      <c r="I184" s="41"/>
      <c r="J184" s="41"/>
      <c r="K184" s="41"/>
      <c r="L184" s="41"/>
    </row>
    <row r="185" spans="5:12" s="39" customFormat="1" x14ac:dyDescent="0.3">
      <c r="E185" s="41"/>
      <c r="F185" s="41"/>
      <c r="G185" s="41"/>
      <c r="H185" s="41"/>
      <c r="I185" s="41"/>
      <c r="J185" s="41"/>
      <c r="K185" s="41"/>
      <c r="L185" s="41"/>
    </row>
    <row r="186" spans="5:12" s="39" customFormat="1" x14ac:dyDescent="0.3">
      <c r="E186" s="41"/>
      <c r="F186" s="41"/>
      <c r="G186" s="41"/>
      <c r="H186" s="41"/>
      <c r="I186" s="41"/>
      <c r="J186" s="41"/>
      <c r="K186" s="41"/>
      <c r="L186" s="41"/>
    </row>
    <row r="187" spans="5:12" s="39" customFormat="1" x14ac:dyDescent="0.3">
      <c r="E187" s="41"/>
      <c r="F187" s="41"/>
      <c r="G187" s="41"/>
      <c r="H187" s="41"/>
      <c r="I187" s="41"/>
      <c r="J187" s="41"/>
      <c r="K187" s="41"/>
      <c r="L187" s="41"/>
    </row>
    <row r="188" spans="5:12" s="39" customFormat="1" x14ac:dyDescent="0.3">
      <c r="E188" s="41"/>
      <c r="F188" s="41"/>
      <c r="G188" s="41"/>
      <c r="H188" s="41"/>
      <c r="I188" s="41"/>
      <c r="J188" s="41"/>
      <c r="K188" s="41"/>
      <c r="L188" s="41"/>
    </row>
    <row r="189" spans="5:12" s="39" customFormat="1" x14ac:dyDescent="0.3">
      <c r="E189" s="41"/>
      <c r="F189" s="41"/>
      <c r="G189" s="41"/>
      <c r="H189" s="41"/>
      <c r="I189" s="41"/>
      <c r="J189" s="41"/>
      <c r="K189" s="41"/>
      <c r="L189" s="41"/>
    </row>
    <row r="190" spans="5:12" s="39" customFormat="1" x14ac:dyDescent="0.3">
      <c r="E190" s="41"/>
      <c r="F190" s="41"/>
      <c r="G190" s="41"/>
      <c r="H190" s="41"/>
      <c r="I190" s="41"/>
      <c r="J190" s="41"/>
      <c r="K190" s="41"/>
      <c r="L190" s="41"/>
    </row>
    <row r="191" spans="5:12" s="39" customFormat="1" x14ac:dyDescent="0.3">
      <c r="E191" s="41"/>
      <c r="F191" s="41"/>
      <c r="G191" s="41"/>
      <c r="H191" s="41"/>
      <c r="I191" s="41"/>
      <c r="J191" s="41"/>
      <c r="K191" s="41"/>
      <c r="L191" s="41"/>
    </row>
    <row r="192" spans="5:12" s="39" customFormat="1" x14ac:dyDescent="0.3">
      <c r="E192" s="41"/>
      <c r="F192" s="41"/>
      <c r="G192" s="41"/>
      <c r="H192" s="41"/>
      <c r="I192" s="41"/>
      <c r="J192" s="41"/>
      <c r="K192" s="41"/>
      <c r="L192" s="41"/>
    </row>
    <row r="193" spans="5:12" s="39" customFormat="1" x14ac:dyDescent="0.3">
      <c r="E193" s="41"/>
      <c r="F193" s="41"/>
      <c r="G193" s="41"/>
      <c r="H193" s="41"/>
      <c r="I193" s="41"/>
      <c r="J193" s="41"/>
      <c r="K193" s="41"/>
      <c r="L193" s="41"/>
    </row>
    <row r="194" spans="5:12" s="39" customFormat="1" x14ac:dyDescent="0.3">
      <c r="E194" s="41"/>
      <c r="F194" s="41"/>
      <c r="G194" s="41"/>
      <c r="H194" s="41"/>
      <c r="I194" s="41"/>
      <c r="J194" s="41"/>
      <c r="K194" s="41"/>
      <c r="L194" s="41"/>
    </row>
    <row r="195" spans="5:12" s="39" customFormat="1" x14ac:dyDescent="0.3">
      <c r="E195" s="41"/>
      <c r="F195" s="41"/>
      <c r="G195" s="41"/>
      <c r="H195" s="41"/>
      <c r="I195" s="41"/>
      <c r="J195" s="41"/>
      <c r="K195" s="41"/>
      <c r="L195" s="41"/>
    </row>
    <row r="196" spans="5:12" s="39" customFormat="1" x14ac:dyDescent="0.3">
      <c r="E196" s="41"/>
      <c r="F196" s="41"/>
      <c r="G196" s="41"/>
      <c r="H196" s="41"/>
      <c r="I196" s="41"/>
      <c r="J196" s="41"/>
      <c r="K196" s="41"/>
      <c r="L196" s="41"/>
    </row>
    <row r="197" spans="5:12" s="39" customFormat="1" x14ac:dyDescent="0.3">
      <c r="E197" s="41"/>
      <c r="F197" s="41"/>
      <c r="G197" s="41"/>
      <c r="H197" s="41"/>
      <c r="I197" s="41"/>
      <c r="J197" s="41"/>
      <c r="K197" s="41"/>
      <c r="L197" s="41"/>
    </row>
    <row r="198" spans="5:12" s="39" customFormat="1" x14ac:dyDescent="0.3">
      <c r="E198" s="41"/>
      <c r="F198" s="41"/>
      <c r="G198" s="41"/>
      <c r="H198" s="41"/>
      <c r="I198" s="41"/>
      <c r="J198" s="41"/>
      <c r="K198" s="41"/>
      <c r="L198" s="41"/>
    </row>
    <row r="199" spans="5:12" s="39" customFormat="1" x14ac:dyDescent="0.3">
      <c r="E199" s="41"/>
      <c r="F199" s="41"/>
      <c r="G199" s="41"/>
      <c r="H199" s="41"/>
      <c r="I199" s="41"/>
      <c r="J199" s="41"/>
      <c r="K199" s="41"/>
      <c r="L199" s="41"/>
    </row>
    <row r="200" spans="5:12" s="39" customFormat="1" x14ac:dyDescent="0.3">
      <c r="E200" s="41"/>
      <c r="F200" s="41"/>
      <c r="G200" s="41"/>
      <c r="H200" s="41"/>
      <c r="I200" s="41"/>
      <c r="J200" s="41"/>
      <c r="K200" s="41"/>
      <c r="L200" s="41"/>
    </row>
    <row r="201" spans="5:12" s="39" customFormat="1" x14ac:dyDescent="0.3">
      <c r="E201" s="41"/>
      <c r="F201" s="41"/>
      <c r="G201" s="41"/>
      <c r="H201" s="41"/>
      <c r="I201" s="41"/>
      <c r="J201" s="41"/>
      <c r="K201" s="41"/>
      <c r="L201" s="41"/>
    </row>
    <row r="202" spans="5:12" s="39" customFormat="1" x14ac:dyDescent="0.3">
      <c r="E202" s="41"/>
      <c r="F202" s="41"/>
      <c r="G202" s="41"/>
      <c r="H202" s="41"/>
      <c r="I202" s="41"/>
      <c r="J202" s="41"/>
      <c r="K202" s="41"/>
      <c r="L202" s="41"/>
    </row>
    <row r="203" spans="5:12" s="39" customFormat="1" x14ac:dyDescent="0.3">
      <c r="E203" s="41"/>
      <c r="F203" s="41"/>
      <c r="G203" s="41"/>
      <c r="H203" s="41"/>
      <c r="I203" s="41"/>
      <c r="J203" s="41"/>
      <c r="K203" s="41"/>
      <c r="L203" s="41"/>
    </row>
    <row r="204" spans="5:12" s="39" customFormat="1" x14ac:dyDescent="0.3">
      <c r="E204" s="41"/>
      <c r="F204" s="41"/>
      <c r="G204" s="41"/>
      <c r="H204" s="41"/>
      <c r="I204" s="41"/>
      <c r="J204" s="41"/>
      <c r="K204" s="41"/>
      <c r="L204" s="41"/>
    </row>
    <row r="205" spans="5:12" s="39" customFormat="1" x14ac:dyDescent="0.3">
      <c r="E205" s="41"/>
      <c r="F205" s="41"/>
      <c r="G205" s="41"/>
      <c r="H205" s="41"/>
      <c r="I205" s="41"/>
      <c r="J205" s="41"/>
      <c r="K205" s="41"/>
      <c r="L205" s="41"/>
    </row>
    <row r="206" spans="5:12" s="39" customFormat="1" x14ac:dyDescent="0.3">
      <c r="E206" s="41"/>
      <c r="F206" s="41"/>
      <c r="G206" s="41"/>
      <c r="H206" s="41"/>
      <c r="I206" s="41"/>
      <c r="J206" s="41"/>
      <c r="K206" s="41"/>
      <c r="L206" s="41"/>
    </row>
    <row r="207" spans="5:12" s="39" customFormat="1" x14ac:dyDescent="0.3">
      <c r="E207" s="41"/>
      <c r="F207" s="41"/>
      <c r="G207" s="41"/>
      <c r="H207" s="41"/>
      <c r="I207" s="41"/>
      <c r="J207" s="41"/>
      <c r="K207" s="41"/>
      <c r="L207" s="41"/>
    </row>
    <row r="208" spans="5:12" s="39" customFormat="1" x14ac:dyDescent="0.3">
      <c r="E208" s="41"/>
      <c r="F208" s="41"/>
      <c r="G208" s="41"/>
      <c r="H208" s="41"/>
      <c r="I208" s="41"/>
      <c r="J208" s="41"/>
      <c r="K208" s="41"/>
      <c r="L208" s="41"/>
    </row>
    <row r="209" spans="5:12" s="39" customFormat="1" x14ac:dyDescent="0.3">
      <c r="E209" s="41"/>
      <c r="F209" s="41"/>
      <c r="G209" s="41"/>
      <c r="H209" s="41"/>
      <c r="I209" s="41"/>
      <c r="J209" s="41"/>
      <c r="K209" s="41"/>
      <c r="L209" s="41"/>
    </row>
    <row r="210" spans="5:12" s="39" customFormat="1" x14ac:dyDescent="0.3">
      <c r="E210" s="41"/>
      <c r="F210" s="41"/>
      <c r="G210" s="41"/>
      <c r="H210" s="41"/>
      <c r="I210" s="41"/>
      <c r="J210" s="41"/>
      <c r="K210" s="41"/>
      <c r="L210" s="41"/>
    </row>
    <row r="211" spans="5:12" s="39" customFormat="1" x14ac:dyDescent="0.3">
      <c r="E211" s="41"/>
      <c r="F211" s="41"/>
      <c r="G211" s="41"/>
      <c r="H211" s="41"/>
      <c r="I211" s="41"/>
      <c r="J211" s="41"/>
      <c r="K211" s="41"/>
      <c r="L211" s="41"/>
    </row>
    <row r="212" spans="5:12" s="39" customFormat="1" x14ac:dyDescent="0.3">
      <c r="E212" s="41"/>
      <c r="F212" s="41"/>
      <c r="G212" s="41"/>
      <c r="H212" s="41"/>
      <c r="I212" s="41"/>
      <c r="J212" s="41"/>
      <c r="K212" s="41"/>
      <c r="L212" s="41"/>
    </row>
    <row r="213" spans="5:12" s="39" customFormat="1" x14ac:dyDescent="0.3">
      <c r="E213" s="41"/>
      <c r="F213" s="41"/>
      <c r="G213" s="41"/>
      <c r="H213" s="41"/>
      <c r="I213" s="41"/>
      <c r="J213" s="41"/>
      <c r="K213" s="41"/>
      <c r="L213" s="41"/>
    </row>
    <row r="214" spans="5:12" s="39" customFormat="1" x14ac:dyDescent="0.3">
      <c r="E214" s="41"/>
      <c r="F214" s="41"/>
      <c r="G214" s="41"/>
      <c r="H214" s="41"/>
      <c r="I214" s="41"/>
      <c r="J214" s="41"/>
      <c r="K214" s="41"/>
      <c r="L214" s="41"/>
    </row>
    <row r="215" spans="5:12" s="39" customFormat="1" x14ac:dyDescent="0.3">
      <c r="E215" s="41"/>
      <c r="F215" s="41"/>
      <c r="G215" s="41"/>
      <c r="H215" s="41"/>
      <c r="I215" s="41"/>
      <c r="J215" s="41"/>
      <c r="K215" s="41"/>
      <c r="L215" s="41"/>
    </row>
    <row r="216" spans="5:12" s="39" customFormat="1" x14ac:dyDescent="0.3">
      <c r="E216" s="41"/>
      <c r="F216" s="41"/>
      <c r="G216" s="41"/>
      <c r="H216" s="41"/>
      <c r="I216" s="41"/>
      <c r="J216" s="41"/>
      <c r="K216" s="41"/>
      <c r="L216" s="41"/>
    </row>
    <row r="217" spans="5:12" s="39" customFormat="1" x14ac:dyDescent="0.3">
      <c r="E217" s="41"/>
      <c r="F217" s="41"/>
      <c r="G217" s="41"/>
      <c r="H217" s="41"/>
      <c r="I217" s="41"/>
      <c r="J217" s="41"/>
      <c r="K217" s="41"/>
      <c r="L217" s="41"/>
    </row>
    <row r="218" spans="5:12" s="39" customFormat="1" x14ac:dyDescent="0.3">
      <c r="E218" s="41"/>
      <c r="F218" s="41"/>
      <c r="G218" s="41"/>
      <c r="H218" s="41"/>
      <c r="I218" s="41"/>
      <c r="J218" s="41"/>
      <c r="K218" s="41"/>
      <c r="L218" s="41"/>
    </row>
    <row r="219" spans="5:12" s="39" customFormat="1" x14ac:dyDescent="0.3">
      <c r="E219" s="41"/>
      <c r="F219" s="41"/>
      <c r="G219" s="41"/>
      <c r="H219" s="41"/>
      <c r="I219" s="41"/>
      <c r="J219" s="41"/>
      <c r="K219" s="41"/>
      <c r="L219" s="41"/>
    </row>
    <row r="220" spans="5:12" s="39" customFormat="1" x14ac:dyDescent="0.3">
      <c r="E220" s="41"/>
      <c r="F220" s="41"/>
      <c r="G220" s="41"/>
      <c r="H220" s="41"/>
      <c r="I220" s="41"/>
      <c r="J220" s="41"/>
      <c r="K220" s="41"/>
      <c r="L220" s="41"/>
    </row>
    <row r="221" spans="5:12" s="39" customFormat="1" x14ac:dyDescent="0.3">
      <c r="E221" s="41"/>
      <c r="F221" s="41"/>
      <c r="G221" s="41"/>
      <c r="H221" s="41"/>
      <c r="I221" s="41"/>
      <c r="J221" s="41"/>
      <c r="K221" s="41"/>
      <c r="L221" s="41"/>
    </row>
    <row r="222" spans="5:12" s="39" customFormat="1" x14ac:dyDescent="0.3">
      <c r="E222" s="41"/>
      <c r="F222" s="41"/>
      <c r="G222" s="41"/>
      <c r="H222" s="41"/>
      <c r="I222" s="41"/>
      <c r="J222" s="41"/>
      <c r="K222" s="41"/>
      <c r="L222" s="41"/>
    </row>
    <row r="223" spans="5:12" s="39" customFormat="1" x14ac:dyDescent="0.3">
      <c r="E223" s="41"/>
      <c r="F223" s="41"/>
      <c r="G223" s="41"/>
      <c r="H223" s="41"/>
      <c r="I223" s="41"/>
      <c r="J223" s="41"/>
      <c r="K223" s="41"/>
      <c r="L223" s="41"/>
    </row>
    <row r="224" spans="5:12" s="39" customFormat="1" x14ac:dyDescent="0.3">
      <c r="E224" s="41"/>
      <c r="F224" s="41"/>
      <c r="G224" s="41"/>
      <c r="H224" s="41"/>
      <c r="I224" s="41"/>
      <c r="J224" s="41"/>
      <c r="K224" s="41"/>
      <c r="L224" s="41"/>
    </row>
    <row r="225" spans="5:12" s="39" customFormat="1" x14ac:dyDescent="0.3">
      <c r="E225" s="41"/>
      <c r="F225" s="41"/>
      <c r="G225" s="41"/>
      <c r="H225" s="41"/>
      <c r="I225" s="41"/>
      <c r="J225" s="41"/>
      <c r="K225" s="41"/>
      <c r="L225" s="41"/>
    </row>
    <row r="226" spans="5:12" s="39" customFormat="1" x14ac:dyDescent="0.3">
      <c r="E226" s="41"/>
      <c r="F226" s="41"/>
      <c r="G226" s="41"/>
      <c r="H226" s="41"/>
      <c r="I226" s="41"/>
      <c r="J226" s="41"/>
      <c r="K226" s="41"/>
      <c r="L226" s="41"/>
    </row>
    <row r="227" spans="5:12" s="39" customFormat="1" x14ac:dyDescent="0.3">
      <c r="E227" s="41"/>
      <c r="F227" s="41"/>
      <c r="G227" s="41"/>
      <c r="H227" s="41"/>
      <c r="I227" s="41"/>
      <c r="J227" s="41"/>
      <c r="K227" s="41"/>
      <c r="L227" s="41"/>
    </row>
    <row r="228" spans="5:12" s="39" customFormat="1" x14ac:dyDescent="0.3">
      <c r="E228" s="41"/>
      <c r="F228" s="41"/>
      <c r="G228" s="41"/>
      <c r="H228" s="41"/>
      <c r="I228" s="41"/>
      <c r="J228" s="41"/>
      <c r="K228" s="41"/>
      <c r="L228" s="41"/>
    </row>
    <row r="229" spans="5:12" s="39" customFormat="1" x14ac:dyDescent="0.3">
      <c r="E229" s="41"/>
      <c r="F229" s="41"/>
      <c r="G229" s="41"/>
      <c r="H229" s="41"/>
      <c r="I229" s="41"/>
      <c r="J229" s="41"/>
      <c r="K229" s="41"/>
      <c r="L229" s="41"/>
    </row>
    <row r="230" spans="5:12" s="39" customFormat="1" x14ac:dyDescent="0.3">
      <c r="E230" s="41"/>
      <c r="F230" s="41"/>
      <c r="G230" s="41"/>
      <c r="H230" s="41"/>
      <c r="I230" s="41"/>
      <c r="J230" s="41"/>
      <c r="K230" s="41"/>
      <c r="L230" s="41"/>
    </row>
    <row r="231" spans="5:12" s="39" customFormat="1" x14ac:dyDescent="0.3">
      <c r="E231" s="41"/>
      <c r="F231" s="41"/>
      <c r="G231" s="41"/>
      <c r="H231" s="41"/>
      <c r="I231" s="41"/>
      <c r="J231" s="41"/>
      <c r="K231" s="41"/>
      <c r="L231" s="41"/>
    </row>
    <row r="232" spans="5:12" s="39" customFormat="1" x14ac:dyDescent="0.3">
      <c r="E232" s="41"/>
      <c r="F232" s="41"/>
      <c r="G232" s="41"/>
      <c r="H232" s="41"/>
      <c r="I232" s="41"/>
      <c r="J232" s="41"/>
      <c r="K232" s="41"/>
      <c r="L232" s="41"/>
    </row>
    <row r="233" spans="5:12" s="39" customFormat="1" x14ac:dyDescent="0.3">
      <c r="E233" s="41"/>
      <c r="F233" s="41"/>
      <c r="G233" s="41"/>
      <c r="H233" s="41"/>
      <c r="I233" s="41"/>
      <c r="J233" s="41"/>
      <c r="K233" s="41"/>
      <c r="L233" s="41"/>
    </row>
    <row r="234" spans="5:12" s="39" customFormat="1" x14ac:dyDescent="0.3">
      <c r="E234" s="41"/>
      <c r="F234" s="41"/>
      <c r="G234" s="41"/>
      <c r="H234" s="41"/>
      <c r="I234" s="41"/>
      <c r="J234" s="41"/>
      <c r="K234" s="41"/>
      <c r="L234" s="41"/>
    </row>
    <row r="235" spans="5:12" s="39" customFormat="1" x14ac:dyDescent="0.3">
      <c r="E235" s="41"/>
      <c r="F235" s="41"/>
      <c r="G235" s="41"/>
      <c r="H235" s="41"/>
      <c r="I235" s="41"/>
      <c r="J235" s="41"/>
      <c r="K235" s="41"/>
      <c r="L235" s="41"/>
    </row>
    <row r="236" spans="5:12" s="39" customFormat="1" x14ac:dyDescent="0.3">
      <c r="E236" s="41"/>
      <c r="F236" s="41"/>
      <c r="G236" s="41"/>
      <c r="H236" s="41"/>
      <c r="I236" s="41"/>
      <c r="J236" s="41"/>
      <c r="K236" s="41"/>
      <c r="L236" s="41"/>
    </row>
    <row r="237" spans="5:12" s="39" customFormat="1" x14ac:dyDescent="0.3">
      <c r="E237" s="41"/>
      <c r="F237" s="41"/>
      <c r="G237" s="41"/>
      <c r="H237" s="41"/>
      <c r="I237" s="41"/>
      <c r="J237" s="41"/>
      <c r="K237" s="41"/>
      <c r="L237" s="41"/>
    </row>
    <row r="238" spans="5:12" s="39" customFormat="1" x14ac:dyDescent="0.3">
      <c r="E238" s="41"/>
      <c r="F238" s="41"/>
      <c r="G238" s="41"/>
      <c r="H238" s="41"/>
      <c r="I238" s="41"/>
      <c r="J238" s="41"/>
      <c r="K238" s="41"/>
      <c r="L238" s="41"/>
    </row>
    <row r="239" spans="5:12" s="39" customFormat="1" x14ac:dyDescent="0.3">
      <c r="E239" s="41"/>
      <c r="F239" s="41"/>
      <c r="G239" s="41"/>
      <c r="H239" s="41"/>
      <c r="I239" s="41"/>
      <c r="J239" s="41"/>
      <c r="K239" s="41"/>
      <c r="L239" s="41"/>
    </row>
    <row r="240" spans="5:12" s="39" customFormat="1" x14ac:dyDescent="0.3">
      <c r="E240" s="41"/>
      <c r="F240" s="41"/>
      <c r="G240" s="41"/>
      <c r="H240" s="41"/>
      <c r="I240" s="41"/>
      <c r="J240" s="41"/>
      <c r="K240" s="41"/>
      <c r="L240" s="41"/>
    </row>
    <row r="241" spans="5:12" s="39" customFormat="1" x14ac:dyDescent="0.3">
      <c r="E241" s="41"/>
      <c r="F241" s="41"/>
      <c r="G241" s="41"/>
      <c r="H241" s="41"/>
      <c r="I241" s="41"/>
      <c r="J241" s="41"/>
      <c r="K241" s="41"/>
      <c r="L241" s="41"/>
    </row>
    <row r="242" spans="5:12" s="39" customFormat="1" x14ac:dyDescent="0.3">
      <c r="E242" s="41"/>
      <c r="F242" s="41"/>
      <c r="G242" s="41"/>
      <c r="H242" s="41"/>
      <c r="I242" s="41"/>
      <c r="J242" s="41"/>
      <c r="K242" s="41"/>
      <c r="L242" s="41"/>
    </row>
    <row r="243" spans="5:12" s="39" customFormat="1" x14ac:dyDescent="0.3">
      <c r="E243" s="41"/>
      <c r="F243" s="41"/>
      <c r="G243" s="41"/>
      <c r="H243" s="41"/>
      <c r="I243" s="41"/>
      <c r="J243" s="41"/>
      <c r="K243" s="41"/>
      <c r="L243" s="41"/>
    </row>
    <row r="244" spans="5:12" s="39" customFormat="1" x14ac:dyDescent="0.3">
      <c r="E244" s="41"/>
      <c r="F244" s="41"/>
      <c r="G244" s="41"/>
      <c r="H244" s="41"/>
      <c r="I244" s="41"/>
      <c r="J244" s="41"/>
      <c r="K244" s="41"/>
      <c r="L244" s="41"/>
    </row>
    <row r="245" spans="5:12" s="39" customFormat="1" x14ac:dyDescent="0.3">
      <c r="E245" s="41"/>
      <c r="F245" s="41"/>
      <c r="G245" s="41"/>
      <c r="H245" s="41"/>
      <c r="I245" s="41"/>
      <c r="J245" s="41"/>
      <c r="K245" s="41"/>
      <c r="L245" s="41"/>
    </row>
    <row r="246" spans="5:12" s="39" customFormat="1" x14ac:dyDescent="0.3">
      <c r="E246" s="41"/>
      <c r="F246" s="41"/>
      <c r="G246" s="41"/>
      <c r="H246" s="41"/>
      <c r="I246" s="41"/>
      <c r="J246" s="41"/>
      <c r="K246" s="41"/>
      <c r="L246" s="41"/>
    </row>
    <row r="247" spans="5:12" s="39" customFormat="1" x14ac:dyDescent="0.3">
      <c r="E247" s="41"/>
      <c r="F247" s="41"/>
      <c r="G247" s="41"/>
      <c r="H247" s="41"/>
      <c r="I247" s="41"/>
      <c r="J247" s="41"/>
      <c r="K247" s="41"/>
      <c r="L247" s="41"/>
    </row>
    <row r="248" spans="5:12" s="39" customFormat="1" x14ac:dyDescent="0.3">
      <c r="E248" s="41"/>
      <c r="F248" s="41"/>
      <c r="G248" s="41"/>
      <c r="H248" s="41"/>
      <c r="I248" s="41"/>
      <c r="J248" s="41"/>
      <c r="K248" s="41"/>
      <c r="L248" s="41"/>
    </row>
    <row r="249" spans="5:12" s="39" customFormat="1" x14ac:dyDescent="0.3">
      <c r="E249" s="41"/>
      <c r="F249" s="41"/>
      <c r="G249" s="41"/>
      <c r="H249" s="41"/>
      <c r="I249" s="41"/>
      <c r="J249" s="41"/>
      <c r="K249" s="41"/>
      <c r="L249" s="41"/>
    </row>
    <row r="250" spans="5:12" s="39" customFormat="1" x14ac:dyDescent="0.3">
      <c r="E250" s="41"/>
      <c r="F250" s="41"/>
      <c r="G250" s="41"/>
      <c r="H250" s="41"/>
      <c r="I250" s="41"/>
      <c r="J250" s="41"/>
      <c r="K250" s="41"/>
      <c r="L250" s="41"/>
    </row>
    <row r="251" spans="5:12" s="39" customFormat="1" x14ac:dyDescent="0.3">
      <c r="E251" s="41"/>
      <c r="F251" s="41"/>
      <c r="G251" s="41"/>
      <c r="H251" s="41"/>
      <c r="I251" s="41"/>
      <c r="J251" s="41"/>
      <c r="K251" s="41"/>
      <c r="L251" s="41"/>
    </row>
    <row r="252" spans="5:12" s="39" customFormat="1" x14ac:dyDescent="0.3">
      <c r="E252" s="41"/>
      <c r="F252" s="41"/>
      <c r="G252" s="41"/>
      <c r="H252" s="41"/>
      <c r="I252" s="41"/>
      <c r="J252" s="41"/>
      <c r="K252" s="41"/>
      <c r="L252" s="41"/>
    </row>
    <row r="253" spans="5:12" s="39" customFormat="1" x14ac:dyDescent="0.3">
      <c r="E253" s="41"/>
      <c r="F253" s="41"/>
      <c r="G253" s="41"/>
      <c r="H253" s="41"/>
      <c r="I253" s="41"/>
      <c r="J253" s="41"/>
      <c r="K253" s="41"/>
      <c r="L253" s="41"/>
    </row>
    <row r="254" spans="5:12" s="39" customFormat="1" x14ac:dyDescent="0.3">
      <c r="E254" s="41"/>
      <c r="F254" s="41"/>
      <c r="G254" s="41"/>
      <c r="H254" s="41"/>
      <c r="I254" s="41"/>
      <c r="J254" s="41"/>
      <c r="K254" s="41"/>
      <c r="L254" s="41"/>
    </row>
    <row r="255" spans="5:12" s="39" customFormat="1" x14ac:dyDescent="0.3">
      <c r="E255" s="41"/>
      <c r="F255" s="41"/>
      <c r="G255" s="41"/>
      <c r="H255" s="41"/>
      <c r="I255" s="41"/>
      <c r="J255" s="41"/>
      <c r="K255" s="41"/>
      <c r="L255" s="41"/>
    </row>
    <row r="256" spans="5:12" s="39" customFormat="1" x14ac:dyDescent="0.3">
      <c r="E256" s="41"/>
      <c r="F256" s="41"/>
      <c r="G256" s="41"/>
      <c r="H256" s="41"/>
      <c r="I256" s="41"/>
      <c r="J256" s="41"/>
      <c r="K256" s="41"/>
      <c r="L256" s="41"/>
    </row>
    <row r="257" spans="5:12" s="39" customFormat="1" x14ac:dyDescent="0.3">
      <c r="E257" s="41"/>
      <c r="F257" s="41"/>
      <c r="G257" s="41"/>
      <c r="H257" s="41"/>
      <c r="I257" s="41"/>
      <c r="J257" s="41"/>
      <c r="K257" s="41"/>
      <c r="L257" s="41"/>
    </row>
    <row r="258" spans="5:12" s="39" customFormat="1" x14ac:dyDescent="0.3">
      <c r="E258" s="41"/>
      <c r="F258" s="41"/>
      <c r="G258" s="41"/>
      <c r="H258" s="41"/>
      <c r="I258" s="41"/>
      <c r="J258" s="41"/>
      <c r="K258" s="41"/>
      <c r="L258" s="41"/>
    </row>
    <row r="259" spans="5:12" s="39" customFormat="1" x14ac:dyDescent="0.3">
      <c r="E259" s="41"/>
      <c r="F259" s="41"/>
      <c r="G259" s="41"/>
      <c r="H259" s="41"/>
      <c r="I259" s="41"/>
      <c r="J259" s="41"/>
      <c r="K259" s="41"/>
      <c r="L259" s="41"/>
    </row>
    <row r="260" spans="5:12" s="39" customFormat="1" x14ac:dyDescent="0.3">
      <c r="E260" s="41"/>
      <c r="F260" s="41"/>
      <c r="G260" s="41"/>
      <c r="H260" s="41"/>
      <c r="I260" s="41"/>
      <c r="J260" s="41"/>
      <c r="K260" s="41"/>
      <c r="L260" s="41"/>
    </row>
    <row r="261" spans="5:12" s="39" customFormat="1" x14ac:dyDescent="0.3">
      <c r="E261" s="41"/>
      <c r="F261" s="41"/>
      <c r="G261" s="41"/>
      <c r="H261" s="41"/>
      <c r="I261" s="41"/>
      <c r="J261" s="41"/>
      <c r="K261" s="41"/>
      <c r="L261" s="41"/>
    </row>
    <row r="262" spans="5:12" s="39" customFormat="1" x14ac:dyDescent="0.3">
      <c r="E262" s="41"/>
      <c r="F262" s="41"/>
      <c r="G262" s="41"/>
      <c r="H262" s="41"/>
      <c r="I262" s="41"/>
      <c r="J262" s="41"/>
      <c r="K262" s="41"/>
      <c r="L262" s="41"/>
    </row>
    <row r="263" spans="5:12" s="39" customFormat="1" x14ac:dyDescent="0.3">
      <c r="E263" s="41"/>
      <c r="F263" s="41"/>
      <c r="G263" s="41"/>
      <c r="H263" s="41"/>
      <c r="I263" s="41"/>
      <c r="J263" s="41"/>
      <c r="K263" s="41"/>
      <c r="L263" s="41"/>
    </row>
    <row r="264" spans="5:12" s="39" customFormat="1" x14ac:dyDescent="0.3">
      <c r="E264" s="41"/>
      <c r="F264" s="41"/>
      <c r="G264" s="41"/>
      <c r="H264" s="41"/>
      <c r="I264" s="41"/>
      <c r="J264" s="41"/>
      <c r="K264" s="41"/>
      <c r="L264" s="41"/>
    </row>
    <row r="265" spans="5:12" s="39" customFormat="1" x14ac:dyDescent="0.3">
      <c r="E265" s="41"/>
      <c r="F265" s="41"/>
      <c r="G265" s="41"/>
      <c r="H265" s="41"/>
      <c r="I265" s="41"/>
      <c r="J265" s="41"/>
      <c r="K265" s="41"/>
      <c r="L265" s="41"/>
    </row>
    <row r="266" spans="5:12" s="39" customFormat="1" x14ac:dyDescent="0.3">
      <c r="E266" s="41"/>
      <c r="F266" s="41"/>
      <c r="G266" s="41"/>
      <c r="H266" s="41"/>
      <c r="I266" s="41"/>
      <c r="J266" s="41"/>
      <c r="K266" s="41"/>
      <c r="L266" s="41"/>
    </row>
    <row r="267" spans="5:12" s="39" customFormat="1" x14ac:dyDescent="0.3">
      <c r="E267" s="41"/>
      <c r="F267" s="41"/>
      <c r="G267" s="41"/>
      <c r="H267" s="41"/>
      <c r="I267" s="41"/>
      <c r="J267" s="41"/>
      <c r="K267" s="41"/>
      <c r="L267" s="41"/>
    </row>
    <row r="268" spans="5:12" s="39" customFormat="1" x14ac:dyDescent="0.3">
      <c r="E268" s="41"/>
      <c r="F268" s="41"/>
      <c r="G268" s="41"/>
      <c r="H268" s="41"/>
      <c r="I268" s="41"/>
      <c r="J268" s="41"/>
      <c r="K268" s="41"/>
      <c r="L268" s="41"/>
    </row>
    <row r="269" spans="5:12" s="39" customFormat="1" x14ac:dyDescent="0.3">
      <c r="E269" s="41"/>
      <c r="F269" s="41"/>
      <c r="G269" s="41"/>
      <c r="H269" s="41"/>
      <c r="I269" s="41"/>
      <c r="J269" s="41"/>
      <c r="K269" s="41"/>
      <c r="L269" s="41"/>
    </row>
    <row r="270" spans="5:12" s="39" customFormat="1" x14ac:dyDescent="0.3">
      <c r="E270" s="41"/>
      <c r="F270" s="41"/>
      <c r="G270" s="41"/>
      <c r="H270" s="41"/>
      <c r="I270" s="41"/>
      <c r="J270" s="41"/>
      <c r="K270" s="41"/>
      <c r="L270" s="41"/>
    </row>
    <row r="271" spans="5:12" s="39" customFormat="1" x14ac:dyDescent="0.3">
      <c r="E271" s="41"/>
      <c r="F271" s="41"/>
      <c r="G271" s="41"/>
      <c r="H271" s="41"/>
      <c r="I271" s="41"/>
      <c r="J271" s="41"/>
      <c r="K271" s="41"/>
      <c r="L271" s="41"/>
    </row>
    <row r="272" spans="5:12" s="39" customFormat="1" x14ac:dyDescent="0.3">
      <c r="E272" s="41"/>
      <c r="F272" s="41"/>
      <c r="G272" s="41"/>
      <c r="H272" s="41"/>
      <c r="I272" s="41"/>
      <c r="J272" s="41"/>
      <c r="K272" s="41"/>
      <c r="L272" s="41"/>
    </row>
    <row r="273" spans="5:12" s="39" customFormat="1" x14ac:dyDescent="0.3">
      <c r="E273" s="41"/>
      <c r="F273" s="41"/>
      <c r="G273" s="41"/>
      <c r="H273" s="41"/>
      <c r="I273" s="41"/>
      <c r="J273" s="41"/>
      <c r="K273" s="41"/>
      <c r="L273" s="41"/>
    </row>
    <row r="274" spans="5:12" s="39" customFormat="1" x14ac:dyDescent="0.3">
      <c r="E274" s="41"/>
      <c r="F274" s="41"/>
      <c r="G274" s="41"/>
      <c r="H274" s="41"/>
      <c r="I274" s="41"/>
      <c r="J274" s="41"/>
      <c r="K274" s="41"/>
      <c r="L274" s="41"/>
    </row>
    <row r="275" spans="5:12" s="39" customFormat="1" x14ac:dyDescent="0.3">
      <c r="E275" s="41"/>
      <c r="F275" s="41"/>
      <c r="G275" s="41"/>
      <c r="H275" s="41"/>
      <c r="I275" s="41"/>
      <c r="J275" s="41"/>
      <c r="K275" s="41"/>
      <c r="L275" s="41"/>
    </row>
    <row r="276" spans="5:12" s="39" customFormat="1" x14ac:dyDescent="0.3">
      <c r="E276" s="41"/>
      <c r="F276" s="41"/>
      <c r="G276" s="41"/>
      <c r="H276" s="41"/>
      <c r="I276" s="41"/>
      <c r="J276" s="41"/>
      <c r="K276" s="41"/>
      <c r="L276" s="41"/>
    </row>
    <row r="277" spans="5:12" s="39" customFormat="1" x14ac:dyDescent="0.3">
      <c r="E277" s="41"/>
      <c r="F277" s="41"/>
      <c r="G277" s="41"/>
      <c r="H277" s="41"/>
      <c r="I277" s="41"/>
      <c r="J277" s="41"/>
      <c r="K277" s="41"/>
      <c r="L277" s="41"/>
    </row>
    <row r="278" spans="5:12" s="39" customFormat="1" x14ac:dyDescent="0.3">
      <c r="E278" s="41"/>
      <c r="F278" s="41"/>
      <c r="G278" s="41"/>
      <c r="H278" s="41"/>
      <c r="I278" s="41"/>
      <c r="J278" s="41"/>
      <c r="K278" s="41"/>
      <c r="L278" s="41"/>
    </row>
    <row r="279" spans="5:12" s="39" customFormat="1" x14ac:dyDescent="0.3">
      <c r="E279" s="41"/>
      <c r="F279" s="41"/>
      <c r="G279" s="41"/>
      <c r="H279" s="41"/>
      <c r="I279" s="41"/>
      <c r="J279" s="41"/>
      <c r="K279" s="41"/>
      <c r="L279" s="41"/>
    </row>
    <row r="280" spans="5:12" s="39" customFormat="1" x14ac:dyDescent="0.3">
      <c r="E280" s="41"/>
      <c r="F280" s="41"/>
      <c r="G280" s="41"/>
      <c r="H280" s="41"/>
      <c r="I280" s="41"/>
      <c r="J280" s="41"/>
      <c r="K280" s="41"/>
      <c r="L280" s="41"/>
    </row>
    <row r="281" spans="5:12" s="39" customFormat="1" x14ac:dyDescent="0.3">
      <c r="E281" s="41"/>
      <c r="F281" s="41"/>
      <c r="G281" s="41"/>
      <c r="H281" s="41"/>
      <c r="I281" s="41"/>
      <c r="J281" s="41"/>
      <c r="K281" s="41"/>
      <c r="L281" s="41"/>
    </row>
    <row r="282" spans="5:12" s="39" customFormat="1" x14ac:dyDescent="0.3">
      <c r="E282" s="41"/>
      <c r="F282" s="41"/>
      <c r="G282" s="41"/>
      <c r="H282" s="41"/>
      <c r="I282" s="41"/>
      <c r="J282" s="41"/>
      <c r="K282" s="41"/>
      <c r="L282" s="41"/>
    </row>
    <row r="283" spans="5:12" s="39" customFormat="1" x14ac:dyDescent="0.3">
      <c r="E283" s="41"/>
      <c r="F283" s="41"/>
      <c r="G283" s="41"/>
      <c r="H283" s="41"/>
      <c r="I283" s="41"/>
      <c r="J283" s="41"/>
      <c r="K283" s="41"/>
      <c r="L283" s="41"/>
    </row>
    <row r="284" spans="5:12" s="39" customFormat="1" x14ac:dyDescent="0.3">
      <c r="E284" s="41"/>
      <c r="F284" s="41"/>
      <c r="G284" s="41"/>
      <c r="H284" s="41"/>
      <c r="I284" s="41"/>
      <c r="J284" s="41"/>
      <c r="K284" s="41"/>
      <c r="L284" s="41"/>
    </row>
    <row r="285" spans="5:12" s="39" customFormat="1" x14ac:dyDescent="0.3">
      <c r="E285" s="41"/>
      <c r="F285" s="41"/>
      <c r="G285" s="41"/>
      <c r="H285" s="41"/>
      <c r="I285" s="41"/>
      <c r="J285" s="41"/>
      <c r="K285" s="41"/>
      <c r="L285" s="41"/>
    </row>
    <row r="286" spans="5:12" s="39" customFormat="1" x14ac:dyDescent="0.3">
      <c r="E286" s="41"/>
      <c r="F286" s="41"/>
      <c r="G286" s="41"/>
      <c r="H286" s="41"/>
      <c r="I286" s="41"/>
      <c r="J286" s="41"/>
      <c r="K286" s="41"/>
      <c r="L286" s="41"/>
    </row>
    <row r="287" spans="5:12" s="39" customFormat="1" x14ac:dyDescent="0.3">
      <c r="E287" s="41"/>
      <c r="F287" s="41"/>
      <c r="G287" s="41"/>
      <c r="H287" s="41"/>
      <c r="I287" s="41"/>
      <c r="J287" s="41"/>
      <c r="K287" s="41"/>
      <c r="L287" s="41"/>
    </row>
    <row r="288" spans="5:12" s="39" customFormat="1" x14ac:dyDescent="0.3">
      <c r="E288" s="41"/>
      <c r="F288" s="41"/>
      <c r="G288" s="41"/>
      <c r="H288" s="41"/>
      <c r="I288" s="41"/>
      <c r="J288" s="41"/>
      <c r="K288" s="41"/>
      <c r="L288" s="41"/>
    </row>
    <row r="289" spans="5:12" s="39" customFormat="1" x14ac:dyDescent="0.3">
      <c r="E289" s="41"/>
      <c r="F289" s="41"/>
      <c r="G289" s="41"/>
      <c r="H289" s="41"/>
      <c r="I289" s="41"/>
      <c r="J289" s="41"/>
      <c r="K289" s="41"/>
      <c r="L289" s="41"/>
    </row>
    <row r="290" spans="5:12" s="39" customFormat="1" x14ac:dyDescent="0.3">
      <c r="E290" s="41"/>
      <c r="F290" s="41"/>
      <c r="G290" s="41"/>
      <c r="H290" s="41"/>
      <c r="I290" s="41"/>
      <c r="J290" s="41"/>
      <c r="K290" s="41"/>
      <c r="L290" s="41"/>
    </row>
    <row r="291" spans="5:12" s="39" customFormat="1" x14ac:dyDescent="0.3">
      <c r="E291" s="41"/>
      <c r="F291" s="41"/>
      <c r="G291" s="41"/>
      <c r="H291" s="41"/>
      <c r="I291" s="41"/>
      <c r="J291" s="41"/>
      <c r="K291" s="41"/>
      <c r="L291" s="41"/>
    </row>
    <row r="292" spans="5:12" s="39" customFormat="1" x14ac:dyDescent="0.3">
      <c r="E292" s="41"/>
      <c r="F292" s="41"/>
      <c r="G292" s="41"/>
      <c r="H292" s="41"/>
      <c r="I292" s="41"/>
      <c r="J292" s="41"/>
      <c r="K292" s="41"/>
      <c r="L292" s="41"/>
    </row>
    <row r="293" spans="5:12" s="39" customFormat="1" x14ac:dyDescent="0.3">
      <c r="E293" s="41"/>
      <c r="F293" s="41"/>
      <c r="G293" s="41"/>
      <c r="H293" s="41"/>
      <c r="I293" s="41"/>
      <c r="J293" s="41"/>
      <c r="K293" s="41"/>
      <c r="L293" s="41"/>
    </row>
    <row r="294" spans="5:12" s="39" customFormat="1" x14ac:dyDescent="0.3">
      <c r="E294" s="41"/>
      <c r="F294" s="41"/>
      <c r="G294" s="41"/>
      <c r="H294" s="41"/>
      <c r="I294" s="41"/>
      <c r="J294" s="41"/>
      <c r="K294" s="41"/>
      <c r="L294" s="41"/>
    </row>
    <row r="295" spans="5:12" s="39" customFormat="1" x14ac:dyDescent="0.3">
      <c r="E295" s="41"/>
      <c r="F295" s="41"/>
      <c r="G295" s="41"/>
      <c r="H295" s="41"/>
      <c r="I295" s="41"/>
      <c r="J295" s="41"/>
      <c r="K295" s="41"/>
      <c r="L295" s="41"/>
    </row>
    <row r="296" spans="5:12" s="39" customFormat="1" x14ac:dyDescent="0.3">
      <c r="E296" s="41"/>
      <c r="F296" s="41"/>
      <c r="G296" s="41"/>
      <c r="H296" s="41"/>
      <c r="I296" s="41"/>
      <c r="J296" s="41"/>
      <c r="K296" s="41"/>
      <c r="L296" s="41"/>
    </row>
    <row r="297" spans="5:12" s="39" customFormat="1" x14ac:dyDescent="0.3">
      <c r="E297" s="41"/>
      <c r="F297" s="41"/>
      <c r="G297" s="41"/>
      <c r="H297" s="41"/>
      <c r="I297" s="41"/>
      <c r="J297" s="41"/>
      <c r="K297" s="41"/>
      <c r="L297" s="41"/>
    </row>
    <row r="298" spans="5:12" s="39" customFormat="1" x14ac:dyDescent="0.3">
      <c r="E298" s="41"/>
      <c r="F298" s="41"/>
      <c r="G298" s="41"/>
      <c r="H298" s="41"/>
      <c r="I298" s="41"/>
      <c r="J298" s="41"/>
      <c r="K298" s="41"/>
      <c r="L298" s="41"/>
    </row>
    <row r="299" spans="5:12" s="39" customFormat="1" x14ac:dyDescent="0.3">
      <c r="E299" s="41"/>
      <c r="F299" s="41"/>
      <c r="G299" s="41"/>
      <c r="H299" s="41"/>
      <c r="I299" s="41"/>
      <c r="J299" s="41"/>
      <c r="K299" s="41"/>
      <c r="L299" s="41"/>
    </row>
    <row r="300" spans="5:12" s="39" customFormat="1" x14ac:dyDescent="0.3">
      <c r="E300" s="41"/>
      <c r="F300" s="41"/>
      <c r="G300" s="41"/>
      <c r="H300" s="41"/>
      <c r="I300" s="41"/>
      <c r="J300" s="41"/>
      <c r="K300" s="41"/>
      <c r="L300" s="41"/>
    </row>
    <row r="301" spans="5:12" s="39" customFormat="1" x14ac:dyDescent="0.3">
      <c r="E301" s="41"/>
      <c r="F301" s="41"/>
      <c r="G301" s="41"/>
      <c r="H301" s="41"/>
      <c r="I301" s="41"/>
      <c r="J301" s="41"/>
      <c r="K301" s="41"/>
      <c r="L301" s="41"/>
    </row>
    <row r="302" spans="5:12" s="39" customFormat="1" x14ac:dyDescent="0.3">
      <c r="E302" s="41"/>
      <c r="F302" s="41"/>
      <c r="G302" s="41"/>
      <c r="H302" s="41"/>
      <c r="I302" s="41"/>
      <c r="J302" s="41"/>
      <c r="K302" s="41"/>
      <c r="L302" s="41"/>
    </row>
    <row r="303" spans="5:12" s="39" customFormat="1" x14ac:dyDescent="0.3">
      <c r="E303" s="41"/>
      <c r="F303" s="41"/>
      <c r="G303" s="41"/>
      <c r="H303" s="41"/>
      <c r="I303" s="41"/>
      <c r="J303" s="41"/>
      <c r="K303" s="41"/>
      <c r="L303" s="41"/>
    </row>
    <row r="304" spans="5:12" s="39" customFormat="1" x14ac:dyDescent="0.3">
      <c r="E304" s="41"/>
      <c r="F304" s="41"/>
      <c r="G304" s="41"/>
      <c r="H304" s="41"/>
      <c r="I304" s="41"/>
      <c r="J304" s="41"/>
      <c r="K304" s="41"/>
      <c r="L304" s="41"/>
    </row>
    <row r="305" spans="5:12" s="39" customFormat="1" x14ac:dyDescent="0.3">
      <c r="E305" s="41"/>
      <c r="F305" s="41"/>
      <c r="G305" s="41"/>
      <c r="H305" s="41"/>
      <c r="I305" s="41"/>
      <c r="J305" s="41"/>
      <c r="K305" s="41"/>
      <c r="L305" s="41"/>
    </row>
    <row r="306" spans="5:12" s="39" customFormat="1" x14ac:dyDescent="0.3">
      <c r="E306" s="41"/>
      <c r="F306" s="41"/>
      <c r="G306" s="41"/>
      <c r="H306" s="41"/>
      <c r="I306" s="41"/>
      <c r="J306" s="41"/>
      <c r="K306" s="41"/>
      <c r="L306" s="41"/>
    </row>
    <row r="307" spans="5:12" s="39" customFormat="1" x14ac:dyDescent="0.3">
      <c r="E307" s="41"/>
      <c r="F307" s="41"/>
      <c r="G307" s="41"/>
      <c r="H307" s="41"/>
      <c r="I307" s="41"/>
      <c r="J307" s="41"/>
      <c r="K307" s="41"/>
      <c r="L307" s="41"/>
    </row>
    <row r="308" spans="5:12" s="39" customFormat="1" x14ac:dyDescent="0.3">
      <c r="E308" s="41"/>
      <c r="F308" s="41"/>
      <c r="G308" s="41"/>
      <c r="H308" s="41"/>
      <c r="I308" s="41"/>
      <c r="J308" s="41"/>
      <c r="K308" s="41"/>
      <c r="L308" s="41"/>
    </row>
    <row r="309" spans="5:12" s="39" customFormat="1" x14ac:dyDescent="0.3">
      <c r="E309" s="41"/>
      <c r="F309" s="41"/>
      <c r="G309" s="41"/>
      <c r="H309" s="41"/>
      <c r="I309" s="41"/>
      <c r="J309" s="41"/>
      <c r="K309" s="41"/>
      <c r="L309" s="41"/>
    </row>
    <row r="310" spans="5:12" s="39" customFormat="1" x14ac:dyDescent="0.3">
      <c r="E310" s="41"/>
      <c r="F310" s="41"/>
      <c r="G310" s="41"/>
      <c r="H310" s="41"/>
      <c r="I310" s="41"/>
      <c r="J310" s="41"/>
      <c r="K310" s="41"/>
      <c r="L310" s="41"/>
    </row>
    <row r="311" spans="5:12" s="39" customFormat="1" x14ac:dyDescent="0.3">
      <c r="E311" s="41"/>
      <c r="F311" s="41"/>
      <c r="G311" s="41"/>
      <c r="H311" s="41"/>
      <c r="I311" s="41"/>
      <c r="J311" s="41"/>
      <c r="K311" s="41"/>
      <c r="L311" s="41"/>
    </row>
    <row r="312" spans="5:12" s="39" customFormat="1" x14ac:dyDescent="0.3">
      <c r="E312" s="41"/>
      <c r="F312" s="41"/>
      <c r="G312" s="41"/>
      <c r="H312" s="41"/>
      <c r="I312" s="41"/>
      <c r="J312" s="41"/>
      <c r="K312" s="41"/>
      <c r="L312" s="41"/>
    </row>
    <row r="313" spans="5:12" s="39" customFormat="1" x14ac:dyDescent="0.3">
      <c r="E313" s="41"/>
      <c r="F313" s="41"/>
      <c r="G313" s="41"/>
      <c r="H313" s="41"/>
      <c r="I313" s="41"/>
      <c r="J313" s="41"/>
      <c r="K313" s="41"/>
      <c r="L313" s="41"/>
    </row>
    <row r="314" spans="5:12" s="39" customFormat="1" x14ac:dyDescent="0.3">
      <c r="E314" s="41"/>
      <c r="F314" s="41"/>
      <c r="G314" s="41"/>
      <c r="H314" s="41"/>
      <c r="I314" s="41"/>
      <c r="J314" s="41"/>
      <c r="K314" s="41"/>
      <c r="L314" s="41"/>
    </row>
    <row r="315" spans="5:12" s="39" customFormat="1" x14ac:dyDescent="0.3">
      <c r="E315" s="41"/>
      <c r="F315" s="41"/>
      <c r="G315" s="41"/>
      <c r="H315" s="41"/>
      <c r="I315" s="41"/>
      <c r="J315" s="41"/>
      <c r="K315" s="41"/>
      <c r="L315" s="41"/>
    </row>
    <row r="316" spans="5:12" s="39" customFormat="1" x14ac:dyDescent="0.3">
      <c r="E316" s="41"/>
      <c r="F316" s="41"/>
      <c r="G316" s="41"/>
      <c r="H316" s="41"/>
      <c r="I316" s="41"/>
      <c r="J316" s="41"/>
      <c r="K316" s="41"/>
      <c r="L316" s="41"/>
    </row>
    <row r="317" spans="5:12" s="39" customFormat="1" x14ac:dyDescent="0.3">
      <c r="E317" s="41"/>
      <c r="F317" s="41"/>
      <c r="G317" s="41"/>
      <c r="H317" s="41"/>
      <c r="I317" s="41"/>
      <c r="J317" s="41"/>
      <c r="K317" s="41"/>
      <c r="L317" s="41"/>
    </row>
    <row r="318" spans="5:12" s="39" customFormat="1" x14ac:dyDescent="0.3">
      <c r="E318" s="41"/>
      <c r="F318" s="41"/>
      <c r="G318" s="41"/>
      <c r="H318" s="41"/>
      <c r="I318" s="41"/>
      <c r="J318" s="41"/>
      <c r="K318" s="41"/>
      <c r="L318" s="41"/>
    </row>
    <row r="319" spans="5:12" s="39" customFormat="1" x14ac:dyDescent="0.3">
      <c r="E319" s="41"/>
      <c r="F319" s="41"/>
      <c r="G319" s="41"/>
      <c r="H319" s="41"/>
      <c r="I319" s="41"/>
      <c r="J319" s="41"/>
      <c r="K319" s="41"/>
      <c r="L319" s="41"/>
    </row>
    <row r="320" spans="5:12" s="39" customFormat="1" x14ac:dyDescent="0.3">
      <c r="E320" s="41"/>
      <c r="F320" s="41"/>
      <c r="G320" s="41"/>
      <c r="H320" s="41"/>
      <c r="I320" s="41"/>
      <c r="J320" s="41"/>
      <c r="K320" s="41"/>
      <c r="L320" s="41"/>
    </row>
    <row r="321" spans="5:12" s="39" customFormat="1" x14ac:dyDescent="0.3">
      <c r="E321" s="41"/>
      <c r="F321" s="41"/>
      <c r="G321" s="41"/>
      <c r="H321" s="41"/>
      <c r="I321" s="41"/>
      <c r="J321" s="41"/>
      <c r="K321" s="41"/>
      <c r="L321" s="41"/>
    </row>
    <row r="322" spans="5:12" s="39" customFormat="1" x14ac:dyDescent="0.3">
      <c r="E322" s="41"/>
      <c r="F322" s="41"/>
      <c r="G322" s="41"/>
      <c r="H322" s="41"/>
      <c r="I322" s="41"/>
      <c r="J322" s="41"/>
      <c r="K322" s="41"/>
      <c r="L322" s="41"/>
    </row>
    <row r="323" spans="5:12" s="39" customFormat="1" x14ac:dyDescent="0.3">
      <c r="E323" s="41"/>
      <c r="F323" s="41"/>
      <c r="G323" s="41"/>
      <c r="H323" s="41"/>
      <c r="I323" s="41"/>
      <c r="J323" s="41"/>
      <c r="K323" s="41"/>
      <c r="L323" s="41"/>
    </row>
    <row r="324" spans="5:12" s="39" customFormat="1" x14ac:dyDescent="0.3">
      <c r="E324" s="41"/>
      <c r="F324" s="41"/>
      <c r="G324" s="41"/>
      <c r="H324" s="41"/>
      <c r="I324" s="41"/>
      <c r="J324" s="41"/>
      <c r="K324" s="41"/>
      <c r="L324" s="41"/>
    </row>
    <row r="325" spans="5:12" s="39" customFormat="1" x14ac:dyDescent="0.3">
      <c r="E325" s="41"/>
      <c r="F325" s="41"/>
      <c r="G325" s="41"/>
      <c r="H325" s="41"/>
      <c r="I325" s="41"/>
      <c r="J325" s="41"/>
      <c r="K325" s="41"/>
      <c r="L325" s="41"/>
    </row>
    <row r="326" spans="5:12" s="39" customFormat="1" x14ac:dyDescent="0.3">
      <c r="E326" s="41"/>
      <c r="F326" s="41"/>
      <c r="G326" s="41"/>
      <c r="H326" s="41"/>
      <c r="I326" s="41"/>
      <c r="J326" s="41"/>
      <c r="K326" s="41"/>
      <c r="L326" s="41"/>
    </row>
    <row r="327" spans="5:12" s="39" customFormat="1" x14ac:dyDescent="0.3">
      <c r="E327" s="41"/>
      <c r="F327" s="41"/>
      <c r="G327" s="41"/>
      <c r="H327" s="41"/>
      <c r="I327" s="41"/>
      <c r="J327" s="41"/>
      <c r="K327" s="41"/>
      <c r="L327" s="41"/>
    </row>
    <row r="328" spans="5:12" s="39" customFormat="1" x14ac:dyDescent="0.3">
      <c r="E328" s="41"/>
      <c r="F328" s="41"/>
      <c r="G328" s="41"/>
      <c r="H328" s="41"/>
      <c r="I328" s="41"/>
      <c r="J328" s="41"/>
      <c r="K328" s="41"/>
      <c r="L328" s="41"/>
    </row>
    <row r="329" spans="5:12" s="39" customFormat="1" x14ac:dyDescent="0.3">
      <c r="E329" s="41"/>
      <c r="F329" s="41"/>
      <c r="G329" s="41"/>
      <c r="H329" s="41"/>
      <c r="I329" s="41"/>
      <c r="J329" s="41"/>
      <c r="K329" s="41"/>
      <c r="L329" s="41"/>
    </row>
    <row r="330" spans="5:12" s="39" customFormat="1" x14ac:dyDescent="0.3">
      <c r="E330" s="41"/>
      <c r="F330" s="41"/>
      <c r="G330" s="41"/>
      <c r="H330" s="41"/>
      <c r="I330" s="41"/>
      <c r="J330" s="41"/>
      <c r="K330" s="41"/>
      <c r="L330" s="41"/>
    </row>
    <row r="331" spans="5:12" s="39" customFormat="1" x14ac:dyDescent="0.3">
      <c r="E331" s="41"/>
      <c r="F331" s="41"/>
      <c r="G331" s="41"/>
      <c r="H331" s="41"/>
      <c r="I331" s="41"/>
      <c r="J331" s="41"/>
      <c r="K331" s="41"/>
      <c r="L331" s="41"/>
    </row>
    <row r="332" spans="5:12" s="39" customFormat="1" x14ac:dyDescent="0.3">
      <c r="E332" s="41"/>
      <c r="F332" s="41"/>
      <c r="G332" s="41"/>
      <c r="H332" s="41"/>
      <c r="I332" s="41"/>
      <c r="J332" s="41"/>
      <c r="K332" s="41"/>
      <c r="L332" s="41"/>
    </row>
    <row r="333" spans="5:12" s="39" customFormat="1" x14ac:dyDescent="0.3">
      <c r="E333" s="41"/>
      <c r="F333" s="41"/>
      <c r="G333" s="41"/>
      <c r="H333" s="41"/>
      <c r="I333" s="41"/>
      <c r="J333" s="41"/>
      <c r="K333" s="41"/>
      <c r="L333" s="41"/>
    </row>
    <row r="334" spans="5:12" s="39" customFormat="1" x14ac:dyDescent="0.3">
      <c r="E334" s="41"/>
      <c r="F334" s="41"/>
      <c r="G334" s="41"/>
      <c r="H334" s="41"/>
      <c r="I334" s="41"/>
      <c r="J334" s="41"/>
      <c r="K334" s="41"/>
      <c r="L334" s="41"/>
    </row>
    <row r="335" spans="5:12" s="39" customFormat="1" x14ac:dyDescent="0.3">
      <c r="E335" s="41"/>
      <c r="F335" s="41"/>
      <c r="G335" s="41"/>
      <c r="H335" s="41"/>
      <c r="I335" s="41"/>
      <c r="J335" s="41"/>
      <c r="K335" s="41"/>
      <c r="L335" s="41"/>
    </row>
    <row r="336" spans="5:12" s="39" customFormat="1" x14ac:dyDescent="0.3">
      <c r="E336" s="41"/>
      <c r="F336" s="41"/>
      <c r="G336" s="41"/>
      <c r="H336" s="41"/>
      <c r="I336" s="41"/>
      <c r="J336" s="41"/>
      <c r="K336" s="41"/>
      <c r="L336" s="41"/>
    </row>
    <row r="337" spans="5:12" s="39" customFormat="1" x14ac:dyDescent="0.3">
      <c r="E337" s="41"/>
      <c r="F337" s="41"/>
      <c r="G337" s="41"/>
      <c r="H337" s="41"/>
      <c r="I337" s="41"/>
      <c r="J337" s="41"/>
      <c r="K337" s="41"/>
      <c r="L337" s="41"/>
    </row>
    <row r="338" spans="5:12" s="39" customFormat="1" x14ac:dyDescent="0.3">
      <c r="E338" s="41"/>
      <c r="F338" s="41"/>
      <c r="G338" s="41"/>
      <c r="H338" s="41"/>
      <c r="I338" s="41"/>
      <c r="J338" s="41"/>
      <c r="K338" s="41"/>
      <c r="L338" s="41"/>
    </row>
    <row r="339" spans="5:12" s="39" customFormat="1" x14ac:dyDescent="0.3">
      <c r="E339" s="41"/>
      <c r="F339" s="41"/>
      <c r="G339" s="41"/>
      <c r="H339" s="41"/>
      <c r="I339" s="41"/>
      <c r="J339" s="41"/>
      <c r="K339" s="41"/>
      <c r="L339" s="41"/>
    </row>
    <row r="340" spans="5:12" s="39" customFormat="1" x14ac:dyDescent="0.3">
      <c r="E340" s="41"/>
      <c r="F340" s="41"/>
      <c r="G340" s="41"/>
      <c r="H340" s="41"/>
      <c r="I340" s="41"/>
      <c r="J340" s="41"/>
      <c r="K340" s="41"/>
      <c r="L340" s="41"/>
    </row>
    <row r="341" spans="5:12" s="39" customFormat="1" x14ac:dyDescent="0.3">
      <c r="E341" s="41"/>
      <c r="F341" s="41"/>
      <c r="G341" s="41"/>
      <c r="H341" s="41"/>
      <c r="I341" s="41"/>
      <c r="J341" s="41"/>
      <c r="K341" s="41"/>
      <c r="L341" s="41"/>
    </row>
    <row r="342" spans="5:12" s="39" customFormat="1" x14ac:dyDescent="0.3">
      <c r="E342" s="41"/>
      <c r="F342" s="41"/>
      <c r="G342" s="41"/>
      <c r="H342" s="41"/>
      <c r="I342" s="41"/>
      <c r="J342" s="41"/>
      <c r="K342" s="41"/>
      <c r="L342" s="41"/>
    </row>
    <row r="343" spans="5:12" s="39" customFormat="1" x14ac:dyDescent="0.3">
      <c r="E343" s="41"/>
      <c r="F343" s="41"/>
      <c r="G343" s="41"/>
      <c r="H343" s="41"/>
      <c r="I343" s="41"/>
      <c r="J343" s="41"/>
      <c r="K343" s="41"/>
      <c r="L343" s="41"/>
    </row>
    <row r="344" spans="5:12" s="39" customFormat="1" x14ac:dyDescent="0.3">
      <c r="E344" s="41"/>
      <c r="F344" s="41"/>
      <c r="G344" s="41"/>
      <c r="H344" s="41"/>
      <c r="I344" s="41"/>
      <c r="J344" s="41"/>
      <c r="K344" s="41"/>
      <c r="L344" s="41"/>
    </row>
    <row r="345" spans="5:12" s="39" customFormat="1" x14ac:dyDescent="0.3">
      <c r="E345" s="41"/>
      <c r="F345" s="41"/>
      <c r="G345" s="41"/>
      <c r="H345" s="41"/>
      <c r="I345" s="41"/>
      <c r="J345" s="41"/>
      <c r="K345" s="41"/>
      <c r="L345" s="41"/>
    </row>
    <row r="346" spans="5:12" s="39" customFormat="1" x14ac:dyDescent="0.3">
      <c r="E346" s="41"/>
      <c r="F346" s="41"/>
      <c r="G346" s="41"/>
      <c r="H346" s="41"/>
      <c r="I346" s="41"/>
      <c r="J346" s="41"/>
      <c r="K346" s="41"/>
      <c r="L346" s="41"/>
    </row>
    <row r="347" spans="5:12" s="39" customFormat="1" x14ac:dyDescent="0.3">
      <c r="E347" s="41"/>
      <c r="F347" s="41"/>
      <c r="G347" s="41"/>
      <c r="H347" s="41"/>
      <c r="I347" s="41"/>
      <c r="J347" s="41"/>
      <c r="K347" s="41"/>
      <c r="L347" s="41"/>
    </row>
    <row r="348" spans="5:12" s="39" customFormat="1" x14ac:dyDescent="0.3">
      <c r="E348" s="41"/>
      <c r="F348" s="41"/>
      <c r="G348" s="41"/>
      <c r="H348" s="41"/>
      <c r="I348" s="41"/>
      <c r="J348" s="41"/>
      <c r="K348" s="41"/>
      <c r="L348" s="41"/>
    </row>
    <row r="349" spans="5:12" s="39" customFormat="1" x14ac:dyDescent="0.3">
      <c r="E349" s="41"/>
      <c r="F349" s="41"/>
      <c r="G349" s="41"/>
      <c r="H349" s="41"/>
      <c r="I349" s="41"/>
      <c r="J349" s="41"/>
      <c r="K349" s="41"/>
      <c r="L349" s="41"/>
    </row>
    <row r="350" spans="5:12" s="39" customFormat="1" x14ac:dyDescent="0.3">
      <c r="E350" s="41"/>
      <c r="F350" s="41"/>
      <c r="G350" s="41"/>
      <c r="H350" s="41"/>
      <c r="I350" s="41"/>
      <c r="J350" s="41"/>
      <c r="K350" s="41"/>
      <c r="L350" s="41"/>
    </row>
    <row r="351" spans="5:12" s="39" customFormat="1" x14ac:dyDescent="0.3">
      <c r="E351" s="41"/>
      <c r="F351" s="41"/>
      <c r="G351" s="41"/>
      <c r="H351" s="41"/>
      <c r="I351" s="41"/>
      <c r="J351" s="41"/>
      <c r="K351" s="41"/>
      <c r="L351" s="41"/>
    </row>
    <row r="352" spans="5:12" s="39" customFormat="1" x14ac:dyDescent="0.3">
      <c r="E352" s="41"/>
      <c r="F352" s="41"/>
      <c r="G352" s="41"/>
      <c r="H352" s="41"/>
      <c r="I352" s="41"/>
      <c r="J352" s="41"/>
      <c r="K352" s="41"/>
      <c r="L352" s="41"/>
    </row>
    <row r="353" spans="5:12" s="39" customFormat="1" x14ac:dyDescent="0.3">
      <c r="E353" s="41"/>
      <c r="F353" s="41"/>
      <c r="G353" s="41"/>
      <c r="H353" s="41"/>
      <c r="I353" s="41"/>
      <c r="J353" s="41"/>
      <c r="K353" s="41"/>
      <c r="L353" s="41"/>
    </row>
    <row r="354" spans="5:12" s="39" customFormat="1" x14ac:dyDescent="0.3">
      <c r="E354" s="41"/>
      <c r="F354" s="41"/>
      <c r="G354" s="41"/>
      <c r="H354" s="41"/>
      <c r="I354" s="41"/>
      <c r="J354" s="41"/>
      <c r="K354" s="41"/>
      <c r="L354" s="41"/>
    </row>
    <row r="355" spans="5:12" s="39" customFormat="1" x14ac:dyDescent="0.3">
      <c r="E355" s="41"/>
      <c r="F355" s="41"/>
      <c r="G355" s="41"/>
      <c r="H355" s="41"/>
      <c r="I355" s="41"/>
      <c r="J355" s="41"/>
      <c r="K355" s="41"/>
      <c r="L355" s="41"/>
    </row>
    <row r="356" spans="5:12" s="39" customFormat="1" x14ac:dyDescent="0.3">
      <c r="E356" s="41"/>
      <c r="F356" s="41"/>
      <c r="G356" s="41"/>
      <c r="H356" s="41"/>
      <c r="I356" s="41"/>
      <c r="J356" s="41"/>
      <c r="K356" s="41"/>
      <c r="L356" s="41"/>
    </row>
    <row r="357" spans="5:12" s="39" customFormat="1" x14ac:dyDescent="0.3">
      <c r="E357" s="41"/>
      <c r="F357" s="41"/>
      <c r="G357" s="41"/>
      <c r="H357" s="41"/>
      <c r="I357" s="41"/>
      <c r="J357" s="41"/>
      <c r="K357" s="41"/>
      <c r="L357" s="41"/>
    </row>
    <row r="358" spans="5:12" s="39" customFormat="1" x14ac:dyDescent="0.3">
      <c r="E358" s="41"/>
      <c r="F358" s="41"/>
      <c r="G358" s="41"/>
      <c r="H358" s="41"/>
      <c r="I358" s="41"/>
      <c r="J358" s="41"/>
      <c r="K358" s="41"/>
      <c r="L358" s="41"/>
    </row>
    <row r="359" spans="5:12" s="39" customFormat="1" x14ac:dyDescent="0.3">
      <c r="E359" s="41"/>
      <c r="F359" s="41"/>
      <c r="G359" s="41"/>
      <c r="H359" s="41"/>
      <c r="I359" s="41"/>
      <c r="J359" s="41"/>
      <c r="K359" s="41"/>
      <c r="L359" s="41"/>
    </row>
    <row r="360" spans="5:12" s="39" customFormat="1" x14ac:dyDescent="0.3">
      <c r="E360" s="41"/>
      <c r="F360" s="41"/>
      <c r="G360" s="41"/>
      <c r="H360" s="41"/>
      <c r="I360" s="41"/>
      <c r="J360" s="41"/>
      <c r="K360" s="41"/>
      <c r="L360" s="41"/>
    </row>
    <row r="361" spans="5:12" s="39" customFormat="1" x14ac:dyDescent="0.3">
      <c r="E361" s="41"/>
      <c r="F361" s="41"/>
      <c r="G361" s="41"/>
      <c r="H361" s="41"/>
      <c r="I361" s="41"/>
      <c r="J361" s="41"/>
      <c r="K361" s="41"/>
      <c r="L361" s="41"/>
    </row>
    <row r="362" spans="5:12" s="39" customFormat="1" x14ac:dyDescent="0.3">
      <c r="E362" s="41"/>
      <c r="F362" s="41"/>
      <c r="G362" s="41"/>
      <c r="H362" s="41"/>
      <c r="I362" s="41"/>
      <c r="J362" s="41"/>
      <c r="K362" s="41"/>
      <c r="L362" s="41"/>
    </row>
    <row r="363" spans="5:12" s="39" customFormat="1" x14ac:dyDescent="0.3">
      <c r="E363" s="41"/>
      <c r="F363" s="41"/>
      <c r="G363" s="41"/>
      <c r="H363" s="41"/>
      <c r="I363" s="41"/>
      <c r="J363" s="41"/>
      <c r="K363" s="41"/>
      <c r="L363" s="41"/>
    </row>
    <row r="364" spans="5:12" s="39" customFormat="1" x14ac:dyDescent="0.3">
      <c r="E364" s="41"/>
      <c r="F364" s="41"/>
      <c r="G364" s="41"/>
      <c r="H364" s="41"/>
      <c r="I364" s="41"/>
      <c r="J364" s="41"/>
      <c r="K364" s="41"/>
      <c r="L364" s="41"/>
    </row>
    <row r="365" spans="5:12" s="39" customFormat="1" x14ac:dyDescent="0.3">
      <c r="E365" s="41"/>
      <c r="F365" s="41"/>
      <c r="G365" s="41"/>
      <c r="H365" s="41"/>
      <c r="I365" s="41"/>
      <c r="J365" s="41"/>
      <c r="K365" s="41"/>
      <c r="L365" s="41"/>
    </row>
    <row r="366" spans="5:12" s="39" customFormat="1" x14ac:dyDescent="0.3">
      <c r="E366" s="41"/>
      <c r="F366" s="41"/>
      <c r="G366" s="41"/>
      <c r="H366" s="41"/>
      <c r="I366" s="41"/>
      <c r="J366" s="41"/>
      <c r="K366" s="41"/>
      <c r="L366" s="41"/>
    </row>
    <row r="367" spans="5:12" s="39" customFormat="1" x14ac:dyDescent="0.3">
      <c r="E367" s="41"/>
      <c r="F367" s="41"/>
      <c r="G367" s="41"/>
      <c r="H367" s="41"/>
      <c r="I367" s="41"/>
      <c r="J367" s="41"/>
      <c r="K367" s="41"/>
      <c r="L367" s="41"/>
    </row>
    <row r="368" spans="5:12" s="39" customFormat="1" x14ac:dyDescent="0.3">
      <c r="E368" s="41"/>
      <c r="F368" s="41"/>
      <c r="G368" s="41"/>
      <c r="H368" s="41"/>
      <c r="I368" s="41"/>
      <c r="J368" s="41"/>
      <c r="K368" s="41"/>
      <c r="L368" s="41"/>
    </row>
    <row r="369" spans="5:12" s="39" customFormat="1" x14ac:dyDescent="0.3">
      <c r="E369" s="41"/>
      <c r="F369" s="41"/>
      <c r="G369" s="41"/>
      <c r="H369" s="41"/>
      <c r="I369" s="41"/>
      <c r="J369" s="41"/>
      <c r="K369" s="41"/>
      <c r="L369" s="41"/>
    </row>
    <row r="370" spans="5:12" s="39" customFormat="1" x14ac:dyDescent="0.3">
      <c r="E370" s="41"/>
      <c r="F370" s="41"/>
      <c r="G370" s="41"/>
      <c r="H370" s="41"/>
      <c r="I370" s="41"/>
      <c r="J370" s="41"/>
      <c r="K370" s="41"/>
      <c r="L370" s="41"/>
    </row>
    <row r="371" spans="5:12" s="39" customFormat="1" x14ac:dyDescent="0.3">
      <c r="E371" s="41"/>
      <c r="F371" s="41"/>
      <c r="G371" s="41"/>
      <c r="H371" s="41"/>
      <c r="I371" s="41"/>
      <c r="J371" s="41"/>
      <c r="K371" s="41"/>
      <c r="L371" s="41"/>
    </row>
    <row r="372" spans="5:12" s="39" customFormat="1" x14ac:dyDescent="0.3">
      <c r="E372" s="41"/>
      <c r="F372" s="41"/>
      <c r="G372" s="41"/>
      <c r="H372" s="41"/>
      <c r="I372" s="41"/>
      <c r="J372" s="41"/>
      <c r="K372" s="41"/>
      <c r="L372" s="41"/>
    </row>
    <row r="373" spans="5:12" s="39" customFormat="1" x14ac:dyDescent="0.3">
      <c r="E373" s="41"/>
      <c r="F373" s="41"/>
      <c r="G373" s="41"/>
      <c r="H373" s="41"/>
      <c r="I373" s="41"/>
      <c r="J373" s="41"/>
      <c r="K373" s="41"/>
      <c r="L373" s="41"/>
    </row>
    <row r="374" spans="5:12" s="39" customFormat="1" x14ac:dyDescent="0.3">
      <c r="E374" s="41"/>
      <c r="F374" s="41"/>
      <c r="G374" s="41"/>
      <c r="H374" s="41"/>
      <c r="I374" s="41"/>
      <c r="J374" s="41"/>
      <c r="K374" s="41"/>
      <c r="L374" s="41"/>
    </row>
    <row r="375" spans="5:12" s="39" customFormat="1" x14ac:dyDescent="0.3">
      <c r="E375" s="41"/>
      <c r="F375" s="41"/>
      <c r="G375" s="41"/>
      <c r="H375" s="41"/>
      <c r="I375" s="41"/>
      <c r="J375" s="41"/>
      <c r="K375" s="41"/>
      <c r="L375" s="41"/>
    </row>
    <row r="376" spans="5:12" s="39" customFormat="1" x14ac:dyDescent="0.3">
      <c r="E376" s="41"/>
      <c r="F376" s="41"/>
      <c r="G376" s="41"/>
      <c r="H376" s="41"/>
      <c r="I376" s="41"/>
      <c r="J376" s="41"/>
      <c r="K376" s="41"/>
      <c r="L376" s="41"/>
    </row>
    <row r="377" spans="5:12" s="39" customFormat="1" x14ac:dyDescent="0.3">
      <c r="E377" s="41"/>
      <c r="F377" s="41"/>
      <c r="G377" s="41"/>
      <c r="H377" s="41"/>
      <c r="I377" s="41"/>
      <c r="J377" s="41"/>
      <c r="K377" s="41"/>
      <c r="L377" s="41"/>
    </row>
    <row r="378" spans="5:12" s="39" customFormat="1" x14ac:dyDescent="0.3">
      <c r="E378" s="41"/>
      <c r="F378" s="41"/>
      <c r="G378" s="41"/>
      <c r="H378" s="41"/>
      <c r="I378" s="41"/>
      <c r="J378" s="41"/>
      <c r="K378" s="41"/>
      <c r="L378" s="41"/>
    </row>
    <row r="379" spans="5:12" s="39" customFormat="1" x14ac:dyDescent="0.3">
      <c r="E379" s="41"/>
      <c r="F379" s="41"/>
      <c r="G379" s="41"/>
      <c r="H379" s="41"/>
      <c r="I379" s="41"/>
      <c r="J379" s="41"/>
      <c r="K379" s="41"/>
      <c r="L379" s="41"/>
    </row>
    <row r="380" spans="5:12" s="39" customFormat="1" x14ac:dyDescent="0.3">
      <c r="E380" s="41"/>
      <c r="F380" s="41"/>
      <c r="G380" s="41"/>
      <c r="H380" s="41"/>
      <c r="I380" s="41"/>
      <c r="J380" s="41"/>
      <c r="K380" s="41"/>
      <c r="L380" s="41"/>
    </row>
    <row r="381" spans="5:12" s="39" customFormat="1" x14ac:dyDescent="0.3">
      <c r="E381" s="41"/>
      <c r="F381" s="41"/>
      <c r="G381" s="41"/>
      <c r="H381" s="41"/>
      <c r="I381" s="41"/>
      <c r="J381" s="41"/>
      <c r="K381" s="41"/>
      <c r="L381" s="41"/>
    </row>
    <row r="382" spans="5:12" s="39" customFormat="1" x14ac:dyDescent="0.3">
      <c r="E382" s="41"/>
      <c r="F382" s="41"/>
      <c r="G382" s="41"/>
      <c r="H382" s="41"/>
      <c r="I382" s="41"/>
      <c r="J382" s="41"/>
      <c r="K382" s="41"/>
      <c r="L382" s="41"/>
    </row>
    <row r="383" spans="5:12" s="39" customFormat="1" x14ac:dyDescent="0.3">
      <c r="E383" s="41"/>
      <c r="F383" s="41"/>
      <c r="G383" s="41"/>
      <c r="H383" s="41"/>
      <c r="I383" s="41"/>
      <c r="J383" s="41"/>
      <c r="K383" s="41"/>
      <c r="L383" s="41"/>
    </row>
    <row r="384" spans="5:12" s="39" customFormat="1" x14ac:dyDescent="0.3">
      <c r="E384" s="41"/>
      <c r="F384" s="41"/>
      <c r="G384" s="41"/>
      <c r="H384" s="41"/>
      <c r="I384" s="41"/>
      <c r="J384" s="41"/>
      <c r="K384" s="41"/>
      <c r="L384" s="41"/>
    </row>
    <row r="385" spans="5:12" s="39" customFormat="1" x14ac:dyDescent="0.3">
      <c r="E385" s="41"/>
      <c r="F385" s="41"/>
      <c r="G385" s="41"/>
      <c r="H385" s="41"/>
      <c r="I385" s="41"/>
      <c r="J385" s="41"/>
      <c r="K385" s="41"/>
      <c r="L385" s="41"/>
    </row>
    <row r="386" spans="5:12" s="39" customFormat="1" x14ac:dyDescent="0.3">
      <c r="E386" s="41"/>
      <c r="F386" s="41"/>
      <c r="G386" s="41"/>
      <c r="H386" s="41"/>
      <c r="I386" s="41"/>
      <c r="J386" s="41"/>
      <c r="K386" s="41"/>
      <c r="L386" s="41"/>
    </row>
    <row r="387" spans="5:12" s="39" customFormat="1" x14ac:dyDescent="0.3">
      <c r="E387" s="41"/>
      <c r="F387" s="41"/>
      <c r="G387" s="41"/>
      <c r="H387" s="41"/>
      <c r="I387" s="41"/>
      <c r="J387" s="41"/>
      <c r="K387" s="41"/>
      <c r="L387" s="41"/>
    </row>
    <row r="388" spans="5:12" s="39" customFormat="1" x14ac:dyDescent="0.3">
      <c r="E388" s="41"/>
      <c r="F388" s="41"/>
      <c r="G388" s="41"/>
      <c r="H388" s="41"/>
      <c r="I388" s="41"/>
      <c r="J388" s="41"/>
      <c r="K388" s="41"/>
      <c r="L388" s="41"/>
    </row>
    <row r="389" spans="5:12" s="39" customFormat="1" x14ac:dyDescent="0.3">
      <c r="E389" s="41"/>
      <c r="F389" s="41"/>
      <c r="G389" s="41"/>
      <c r="H389" s="41"/>
      <c r="I389" s="41"/>
      <c r="J389" s="41"/>
      <c r="K389" s="41"/>
      <c r="L389" s="41"/>
    </row>
    <row r="390" spans="5:12" s="39" customFormat="1" x14ac:dyDescent="0.3">
      <c r="E390" s="41"/>
      <c r="F390" s="41"/>
      <c r="G390" s="41"/>
      <c r="H390" s="41"/>
      <c r="I390" s="41"/>
      <c r="J390" s="41"/>
      <c r="K390" s="41"/>
      <c r="L390" s="41"/>
    </row>
    <row r="391" spans="5:12" s="39" customFormat="1" x14ac:dyDescent="0.3">
      <c r="E391" s="41"/>
      <c r="F391" s="41"/>
      <c r="G391" s="41"/>
      <c r="H391" s="41"/>
      <c r="I391" s="41"/>
      <c r="J391" s="41"/>
      <c r="K391" s="41"/>
      <c r="L391" s="41"/>
    </row>
    <row r="392" spans="5:12" s="39" customFormat="1" x14ac:dyDescent="0.3">
      <c r="E392" s="41"/>
      <c r="F392" s="41"/>
      <c r="G392" s="41"/>
      <c r="H392" s="41"/>
      <c r="I392" s="41"/>
      <c r="J392" s="41"/>
      <c r="K392" s="41"/>
      <c r="L392" s="41"/>
    </row>
    <row r="393" spans="5:12" s="39" customFormat="1" x14ac:dyDescent="0.3">
      <c r="E393" s="41"/>
      <c r="F393" s="41"/>
      <c r="G393" s="41"/>
      <c r="H393" s="41"/>
      <c r="I393" s="41"/>
      <c r="J393" s="41"/>
      <c r="K393" s="41"/>
      <c r="L393" s="41"/>
    </row>
    <row r="394" spans="5:12" s="39" customFormat="1" x14ac:dyDescent="0.3">
      <c r="E394" s="41"/>
      <c r="F394" s="41"/>
      <c r="G394" s="41"/>
      <c r="H394" s="41"/>
      <c r="I394" s="41"/>
      <c r="J394" s="41"/>
      <c r="K394" s="41"/>
      <c r="L394" s="41"/>
    </row>
    <row r="395" spans="5:12" s="39" customFormat="1" x14ac:dyDescent="0.3">
      <c r="E395" s="41"/>
      <c r="F395" s="41"/>
      <c r="G395" s="41"/>
      <c r="H395" s="41"/>
      <c r="I395" s="41"/>
      <c r="J395" s="41"/>
      <c r="K395" s="41"/>
      <c r="L395" s="41"/>
    </row>
    <row r="396" spans="5:12" s="39" customFormat="1" x14ac:dyDescent="0.3">
      <c r="E396" s="41"/>
      <c r="F396" s="41"/>
      <c r="G396" s="41"/>
      <c r="H396" s="41"/>
      <c r="I396" s="41"/>
      <c r="J396" s="41"/>
      <c r="K396" s="41"/>
      <c r="L396" s="41"/>
    </row>
    <row r="397" spans="5:12" s="39" customFormat="1" x14ac:dyDescent="0.3">
      <c r="E397" s="41"/>
      <c r="F397" s="41"/>
      <c r="G397" s="41"/>
      <c r="H397" s="41"/>
      <c r="I397" s="41"/>
      <c r="J397" s="41"/>
      <c r="K397" s="41"/>
      <c r="L397" s="41"/>
    </row>
    <row r="398" spans="5:12" s="39" customFormat="1" x14ac:dyDescent="0.3">
      <c r="E398" s="41"/>
      <c r="F398" s="41"/>
      <c r="G398" s="41"/>
      <c r="H398" s="41"/>
      <c r="I398" s="41"/>
      <c r="J398" s="41"/>
      <c r="K398" s="41"/>
      <c r="L398" s="41"/>
    </row>
    <row r="399" spans="5:12" s="39" customFormat="1" x14ac:dyDescent="0.3">
      <c r="E399" s="41"/>
      <c r="F399" s="41"/>
      <c r="G399" s="41"/>
      <c r="H399" s="41"/>
      <c r="I399" s="41"/>
      <c r="J399" s="41"/>
      <c r="K399" s="41"/>
      <c r="L399" s="41"/>
    </row>
    <row r="400" spans="5:12" s="39" customFormat="1" x14ac:dyDescent="0.3">
      <c r="E400" s="41"/>
      <c r="F400" s="41"/>
      <c r="G400" s="41"/>
      <c r="H400" s="41"/>
      <c r="I400" s="41"/>
      <c r="J400" s="41"/>
      <c r="K400" s="41"/>
      <c r="L400" s="41"/>
    </row>
    <row r="401" spans="5:12" s="39" customFormat="1" x14ac:dyDescent="0.3">
      <c r="E401" s="41"/>
      <c r="F401" s="41"/>
      <c r="G401" s="41"/>
      <c r="H401" s="41"/>
      <c r="I401" s="41"/>
      <c r="J401" s="41"/>
      <c r="K401" s="41"/>
      <c r="L401" s="41"/>
    </row>
    <row r="402" spans="5:12" s="39" customFormat="1" x14ac:dyDescent="0.3">
      <c r="E402" s="41"/>
      <c r="F402" s="41"/>
      <c r="G402" s="41"/>
      <c r="H402" s="41"/>
      <c r="I402" s="41"/>
      <c r="J402" s="41"/>
      <c r="K402" s="41"/>
      <c r="L402" s="41"/>
    </row>
    <row r="403" spans="5:12" s="39" customFormat="1" x14ac:dyDescent="0.3">
      <c r="E403" s="41"/>
      <c r="F403" s="41"/>
      <c r="G403" s="41"/>
      <c r="H403" s="41"/>
      <c r="I403" s="41"/>
      <c r="J403" s="41"/>
      <c r="K403" s="41"/>
      <c r="L403" s="41"/>
    </row>
    <row r="404" spans="5:12" s="39" customFormat="1" x14ac:dyDescent="0.3">
      <c r="E404" s="41"/>
      <c r="F404" s="41"/>
      <c r="G404" s="41"/>
      <c r="H404" s="41"/>
      <c r="I404" s="41"/>
      <c r="J404" s="41"/>
      <c r="K404" s="41"/>
      <c r="L404" s="41"/>
    </row>
    <row r="405" spans="5:12" s="39" customFormat="1" x14ac:dyDescent="0.3">
      <c r="E405" s="41"/>
      <c r="F405" s="41"/>
      <c r="G405" s="41"/>
      <c r="H405" s="41"/>
      <c r="I405" s="41"/>
      <c r="J405" s="41"/>
      <c r="K405" s="41"/>
      <c r="L405" s="41"/>
    </row>
    <row r="406" spans="5:12" s="39" customFormat="1" x14ac:dyDescent="0.3">
      <c r="E406" s="41"/>
      <c r="F406" s="41"/>
      <c r="G406" s="41"/>
      <c r="H406" s="41"/>
      <c r="I406" s="41"/>
      <c r="J406" s="41"/>
      <c r="K406" s="41"/>
      <c r="L406" s="41"/>
    </row>
    <row r="407" spans="5:12" s="39" customFormat="1" x14ac:dyDescent="0.3">
      <c r="E407" s="41"/>
      <c r="F407" s="41"/>
      <c r="G407" s="41"/>
      <c r="H407" s="41"/>
      <c r="I407" s="41"/>
      <c r="J407" s="41"/>
      <c r="K407" s="41"/>
      <c r="L407" s="41"/>
    </row>
    <row r="408" spans="5:12" s="39" customFormat="1" x14ac:dyDescent="0.3">
      <c r="E408" s="41"/>
      <c r="F408" s="41"/>
      <c r="G408" s="41"/>
      <c r="H408" s="41"/>
      <c r="I408" s="41"/>
      <c r="J408" s="41"/>
      <c r="K408" s="41"/>
      <c r="L408" s="41"/>
    </row>
    <row r="409" spans="5:12" s="39" customFormat="1" x14ac:dyDescent="0.3">
      <c r="E409" s="41"/>
      <c r="F409" s="41"/>
      <c r="G409" s="41"/>
      <c r="H409" s="41"/>
      <c r="I409" s="41"/>
      <c r="J409" s="41"/>
      <c r="K409" s="41"/>
      <c r="L409" s="41"/>
    </row>
    <row r="410" spans="5:12" s="39" customFormat="1" x14ac:dyDescent="0.3">
      <c r="E410" s="41"/>
      <c r="F410" s="41"/>
      <c r="G410" s="41"/>
      <c r="H410" s="41"/>
      <c r="I410" s="41"/>
      <c r="J410" s="41"/>
      <c r="K410" s="41"/>
      <c r="L410" s="41"/>
    </row>
    <row r="411" spans="5:12" s="39" customFormat="1" x14ac:dyDescent="0.3">
      <c r="E411" s="41"/>
      <c r="F411" s="41"/>
      <c r="G411" s="41"/>
      <c r="H411" s="41"/>
      <c r="I411" s="41"/>
      <c r="J411" s="41"/>
      <c r="K411" s="41"/>
      <c r="L411" s="41"/>
    </row>
    <row r="412" spans="5:12" s="39" customFormat="1" x14ac:dyDescent="0.3">
      <c r="E412" s="41"/>
      <c r="F412" s="41"/>
      <c r="G412" s="41"/>
      <c r="H412" s="41"/>
      <c r="I412" s="41"/>
      <c r="J412" s="41"/>
      <c r="K412" s="41"/>
      <c r="L412" s="41"/>
    </row>
    <row r="413" spans="5:12" s="39" customFormat="1" x14ac:dyDescent="0.3">
      <c r="E413" s="41"/>
      <c r="F413" s="41"/>
      <c r="G413" s="41"/>
      <c r="H413" s="41"/>
      <c r="I413" s="41"/>
      <c r="J413" s="41"/>
      <c r="K413" s="41"/>
      <c r="L413" s="41"/>
    </row>
    <row r="414" spans="5:12" s="39" customFormat="1" x14ac:dyDescent="0.3">
      <c r="E414" s="41"/>
      <c r="F414" s="41"/>
      <c r="G414" s="41"/>
      <c r="H414" s="41"/>
      <c r="I414" s="41"/>
      <c r="J414" s="41"/>
      <c r="K414" s="41"/>
      <c r="L414" s="41"/>
    </row>
    <row r="415" spans="5:12" s="39" customFormat="1" x14ac:dyDescent="0.3">
      <c r="E415" s="41"/>
      <c r="F415" s="41"/>
      <c r="G415" s="41"/>
      <c r="H415" s="41"/>
      <c r="I415" s="41"/>
      <c r="J415" s="41"/>
      <c r="K415" s="41"/>
      <c r="L415" s="41"/>
    </row>
    <row r="416" spans="5:12" s="39" customFormat="1" x14ac:dyDescent="0.3">
      <c r="E416" s="41"/>
      <c r="F416" s="41"/>
      <c r="G416" s="41"/>
      <c r="H416" s="41"/>
      <c r="I416" s="41"/>
      <c r="J416" s="41"/>
      <c r="K416" s="41"/>
      <c r="L416" s="41"/>
    </row>
    <row r="417" spans="5:12" s="39" customFormat="1" x14ac:dyDescent="0.3">
      <c r="E417" s="41"/>
      <c r="F417" s="41"/>
      <c r="G417" s="41"/>
      <c r="H417" s="41"/>
      <c r="I417" s="41"/>
      <c r="J417" s="41"/>
      <c r="K417" s="41"/>
      <c r="L417" s="41"/>
    </row>
    <row r="418" spans="5:12" s="39" customFormat="1" x14ac:dyDescent="0.3">
      <c r="E418" s="41"/>
      <c r="F418" s="41"/>
      <c r="G418" s="41"/>
      <c r="H418" s="41"/>
      <c r="I418" s="41"/>
      <c r="J418" s="41"/>
      <c r="K418" s="41"/>
      <c r="L418" s="41"/>
    </row>
    <row r="419" spans="5:12" s="39" customFormat="1" x14ac:dyDescent="0.3">
      <c r="E419" s="41"/>
      <c r="F419" s="41"/>
      <c r="G419" s="41"/>
      <c r="H419" s="41"/>
      <c r="I419" s="41"/>
      <c r="J419" s="41"/>
      <c r="K419" s="41"/>
      <c r="L419" s="41"/>
    </row>
    <row r="420" spans="5:12" s="39" customFormat="1" x14ac:dyDescent="0.3">
      <c r="E420" s="41"/>
      <c r="F420" s="41"/>
      <c r="G420" s="41"/>
      <c r="H420" s="41"/>
      <c r="I420" s="41"/>
      <c r="J420" s="41"/>
      <c r="K420" s="41"/>
      <c r="L420" s="41"/>
    </row>
    <row r="421" spans="5:12" s="39" customFormat="1" x14ac:dyDescent="0.3">
      <c r="E421" s="41"/>
      <c r="F421" s="41"/>
      <c r="G421" s="41"/>
      <c r="H421" s="41"/>
      <c r="I421" s="41"/>
      <c r="J421" s="41"/>
      <c r="K421" s="41"/>
      <c r="L421" s="41"/>
    </row>
    <row r="422" spans="5:12" s="39" customFormat="1" x14ac:dyDescent="0.3">
      <c r="E422" s="41"/>
      <c r="F422" s="41"/>
      <c r="G422" s="41"/>
      <c r="H422" s="41"/>
      <c r="I422" s="41"/>
      <c r="J422" s="41"/>
      <c r="K422" s="41"/>
      <c r="L422" s="41"/>
    </row>
    <row r="423" spans="5:12" s="39" customFormat="1" x14ac:dyDescent="0.3">
      <c r="E423" s="41"/>
      <c r="F423" s="41"/>
      <c r="G423" s="41"/>
      <c r="H423" s="41"/>
      <c r="I423" s="41"/>
      <c r="J423" s="41"/>
      <c r="K423" s="41"/>
      <c r="L423" s="41"/>
    </row>
    <row r="424" spans="5:12" s="39" customFormat="1" x14ac:dyDescent="0.3">
      <c r="E424" s="41"/>
      <c r="F424" s="41"/>
      <c r="G424" s="41"/>
      <c r="H424" s="41"/>
      <c r="I424" s="41"/>
      <c r="J424" s="41"/>
      <c r="K424" s="41"/>
      <c r="L424" s="41"/>
    </row>
    <row r="425" spans="5:12" s="39" customFormat="1" x14ac:dyDescent="0.3">
      <c r="E425" s="41"/>
      <c r="F425" s="41"/>
      <c r="G425" s="41"/>
      <c r="H425" s="41"/>
      <c r="I425" s="41"/>
      <c r="J425" s="41"/>
      <c r="K425" s="41"/>
      <c r="L425" s="41"/>
    </row>
    <row r="426" spans="5:12" s="39" customFormat="1" x14ac:dyDescent="0.3">
      <c r="E426" s="41"/>
      <c r="F426" s="41"/>
      <c r="G426" s="41"/>
      <c r="H426" s="41"/>
      <c r="I426" s="41"/>
      <c r="J426" s="41"/>
      <c r="K426" s="41"/>
      <c r="L426" s="41"/>
    </row>
    <row r="427" spans="5:12" s="39" customFormat="1" x14ac:dyDescent="0.3">
      <c r="E427" s="41"/>
      <c r="F427" s="41"/>
      <c r="G427" s="41"/>
      <c r="H427" s="41"/>
      <c r="I427" s="41"/>
      <c r="J427" s="41"/>
      <c r="K427" s="41"/>
      <c r="L427" s="41"/>
    </row>
    <row r="428" spans="5:12" s="39" customFormat="1" x14ac:dyDescent="0.3">
      <c r="E428" s="41"/>
      <c r="F428" s="41"/>
      <c r="G428" s="41"/>
      <c r="H428" s="41"/>
      <c r="I428" s="41"/>
      <c r="J428" s="41"/>
      <c r="K428" s="41"/>
      <c r="L428" s="41"/>
    </row>
    <row r="429" spans="5:12" s="39" customFormat="1" x14ac:dyDescent="0.3">
      <c r="E429" s="41"/>
      <c r="F429" s="41"/>
      <c r="G429" s="41"/>
      <c r="H429" s="41"/>
      <c r="I429" s="41"/>
      <c r="J429" s="41"/>
      <c r="K429" s="41"/>
      <c r="L429" s="41"/>
    </row>
    <row r="430" spans="5:12" s="39" customFormat="1" x14ac:dyDescent="0.3">
      <c r="E430" s="41"/>
      <c r="F430" s="41"/>
      <c r="G430" s="41"/>
      <c r="H430" s="41"/>
      <c r="I430" s="41"/>
      <c r="J430" s="41"/>
      <c r="K430" s="41"/>
      <c r="L430" s="41"/>
    </row>
    <row r="431" spans="5:12" s="39" customFormat="1" x14ac:dyDescent="0.3">
      <c r="E431" s="41"/>
      <c r="F431" s="41"/>
      <c r="G431" s="41"/>
      <c r="H431" s="41"/>
      <c r="I431" s="41"/>
      <c r="J431" s="41"/>
      <c r="K431" s="41"/>
      <c r="L431" s="41"/>
    </row>
    <row r="432" spans="5:12" s="39" customFormat="1" x14ac:dyDescent="0.3">
      <c r="E432" s="41"/>
      <c r="F432" s="41"/>
      <c r="G432" s="41"/>
      <c r="H432" s="41"/>
      <c r="I432" s="41"/>
      <c r="J432" s="41"/>
      <c r="K432" s="41"/>
      <c r="L432" s="41"/>
    </row>
    <row r="433" spans="5:12" s="39" customFormat="1" x14ac:dyDescent="0.3">
      <c r="E433" s="41"/>
      <c r="F433" s="41"/>
      <c r="G433" s="41"/>
      <c r="H433" s="41"/>
      <c r="I433" s="41"/>
      <c r="J433" s="41"/>
      <c r="K433" s="41"/>
      <c r="L433" s="41"/>
    </row>
    <row r="434" spans="5:12" s="39" customFormat="1" x14ac:dyDescent="0.3">
      <c r="E434" s="41"/>
      <c r="F434" s="41"/>
      <c r="G434" s="41"/>
      <c r="H434" s="41"/>
      <c r="I434" s="41"/>
      <c r="J434" s="41"/>
      <c r="K434" s="41"/>
      <c r="L434" s="41"/>
    </row>
    <row r="435" spans="5:12" s="39" customFormat="1" x14ac:dyDescent="0.3">
      <c r="E435" s="41"/>
      <c r="F435" s="41"/>
      <c r="G435" s="41"/>
      <c r="H435" s="41"/>
      <c r="I435" s="41"/>
      <c r="J435" s="41"/>
      <c r="K435" s="41"/>
      <c r="L435" s="41"/>
    </row>
    <row r="436" spans="5:12" s="39" customFormat="1" x14ac:dyDescent="0.3">
      <c r="E436" s="41"/>
      <c r="F436" s="41"/>
      <c r="G436" s="41"/>
      <c r="H436" s="41"/>
      <c r="I436" s="41"/>
      <c r="J436" s="41"/>
      <c r="K436" s="41"/>
      <c r="L436" s="41"/>
    </row>
    <row r="437" spans="5:12" s="39" customFormat="1" x14ac:dyDescent="0.3">
      <c r="E437" s="41"/>
      <c r="F437" s="41"/>
      <c r="G437" s="41"/>
      <c r="H437" s="41"/>
      <c r="I437" s="41"/>
      <c r="J437" s="41"/>
      <c r="K437" s="41"/>
      <c r="L437" s="41"/>
    </row>
    <row r="438" spans="5:12" s="39" customFormat="1" x14ac:dyDescent="0.3">
      <c r="E438" s="41"/>
      <c r="F438" s="41"/>
      <c r="G438" s="41"/>
      <c r="H438" s="41"/>
      <c r="I438" s="41"/>
      <c r="J438" s="41"/>
      <c r="K438" s="41"/>
      <c r="L438" s="41"/>
    </row>
    <row r="439" spans="5:12" s="39" customFormat="1" x14ac:dyDescent="0.3">
      <c r="E439" s="41"/>
      <c r="F439" s="41"/>
      <c r="G439" s="41"/>
      <c r="H439" s="41"/>
      <c r="I439" s="41"/>
      <c r="J439" s="41"/>
      <c r="K439" s="41"/>
      <c r="L439" s="41"/>
    </row>
    <row r="440" spans="5:12" s="39" customFormat="1" x14ac:dyDescent="0.3">
      <c r="E440" s="41"/>
      <c r="F440" s="41"/>
      <c r="G440" s="41"/>
      <c r="H440" s="41"/>
      <c r="I440" s="41"/>
      <c r="J440" s="41"/>
      <c r="K440" s="41"/>
      <c r="L440" s="41"/>
    </row>
    <row r="441" spans="5:12" s="39" customFormat="1" x14ac:dyDescent="0.3">
      <c r="E441" s="41"/>
      <c r="F441" s="41"/>
      <c r="G441" s="41"/>
      <c r="H441" s="41"/>
      <c r="I441" s="41"/>
      <c r="J441" s="41"/>
      <c r="K441" s="41"/>
      <c r="L441" s="41"/>
    </row>
    <row r="442" spans="5:12" s="39" customFormat="1" x14ac:dyDescent="0.3">
      <c r="E442" s="41"/>
      <c r="F442" s="41"/>
      <c r="G442" s="41"/>
      <c r="H442" s="41"/>
      <c r="I442" s="41"/>
      <c r="J442" s="41"/>
      <c r="K442" s="41"/>
      <c r="L442" s="41"/>
    </row>
    <row r="443" spans="5:12" s="39" customFormat="1" x14ac:dyDescent="0.3">
      <c r="E443" s="41"/>
      <c r="F443" s="41"/>
      <c r="G443" s="41"/>
      <c r="H443" s="41"/>
      <c r="I443" s="41"/>
      <c r="J443" s="41"/>
      <c r="K443" s="41"/>
      <c r="L443" s="41"/>
    </row>
    <row r="444" spans="5:12" s="39" customFormat="1" x14ac:dyDescent="0.3">
      <c r="E444" s="41"/>
      <c r="F444" s="41"/>
      <c r="G444" s="41"/>
      <c r="H444" s="41"/>
      <c r="I444" s="41"/>
      <c r="J444" s="41"/>
      <c r="K444" s="41"/>
      <c r="L444" s="41"/>
    </row>
    <row r="445" spans="5:12" s="39" customFormat="1" x14ac:dyDescent="0.3">
      <c r="E445" s="41"/>
      <c r="F445" s="41"/>
      <c r="G445" s="41"/>
      <c r="H445" s="41"/>
      <c r="I445" s="41"/>
      <c r="J445" s="41"/>
      <c r="K445" s="41"/>
      <c r="L445" s="41"/>
    </row>
    <row r="446" spans="5:12" s="39" customFormat="1" x14ac:dyDescent="0.3">
      <c r="E446" s="41"/>
      <c r="F446" s="41"/>
      <c r="G446" s="41"/>
      <c r="H446" s="41"/>
      <c r="I446" s="41"/>
      <c r="J446" s="41"/>
      <c r="K446" s="41"/>
      <c r="L446" s="41"/>
    </row>
    <row r="447" spans="5:12" s="39" customFormat="1" x14ac:dyDescent="0.3">
      <c r="E447" s="41"/>
      <c r="F447" s="41"/>
      <c r="G447" s="41"/>
      <c r="H447" s="41"/>
      <c r="I447" s="41"/>
      <c r="J447" s="41"/>
      <c r="K447" s="41"/>
      <c r="L447" s="41"/>
    </row>
    <row r="448" spans="5:12" s="39" customFormat="1" x14ac:dyDescent="0.3">
      <c r="E448" s="41"/>
      <c r="F448" s="41"/>
      <c r="G448" s="41"/>
      <c r="H448" s="41"/>
      <c r="I448" s="41"/>
      <c r="J448" s="41"/>
      <c r="K448" s="41"/>
      <c r="L448" s="41"/>
    </row>
    <row r="449" spans="5:12" s="39" customFormat="1" x14ac:dyDescent="0.3">
      <c r="E449" s="41"/>
      <c r="F449" s="41"/>
      <c r="G449" s="41"/>
      <c r="H449" s="41"/>
      <c r="I449" s="41"/>
      <c r="J449" s="41"/>
      <c r="K449" s="41"/>
      <c r="L449" s="41"/>
    </row>
    <row r="450" spans="5:12" s="39" customFormat="1" x14ac:dyDescent="0.3">
      <c r="E450" s="41"/>
      <c r="F450" s="41"/>
      <c r="G450" s="41"/>
      <c r="H450" s="41"/>
      <c r="I450" s="41"/>
      <c r="J450" s="41"/>
      <c r="K450" s="41"/>
      <c r="L450" s="41"/>
    </row>
    <row r="451" spans="5:12" s="39" customFormat="1" x14ac:dyDescent="0.3">
      <c r="E451" s="41"/>
      <c r="F451" s="41"/>
      <c r="G451" s="41"/>
      <c r="H451" s="41"/>
      <c r="I451" s="41"/>
      <c r="J451" s="41"/>
      <c r="K451" s="41"/>
      <c r="L451" s="41"/>
    </row>
    <row r="452" spans="5:12" s="39" customFormat="1" x14ac:dyDescent="0.3">
      <c r="E452" s="41"/>
      <c r="F452" s="41"/>
      <c r="G452" s="41"/>
      <c r="H452" s="41"/>
      <c r="I452" s="41"/>
      <c r="J452" s="41"/>
      <c r="K452" s="41"/>
      <c r="L452" s="41"/>
    </row>
    <row r="453" spans="5:12" s="39" customFormat="1" x14ac:dyDescent="0.3">
      <c r="E453" s="41"/>
      <c r="F453" s="41"/>
      <c r="G453" s="41"/>
      <c r="H453" s="41"/>
      <c r="I453" s="41"/>
      <c r="J453" s="41"/>
      <c r="K453" s="41"/>
      <c r="L453" s="41"/>
    </row>
    <row r="454" spans="5:12" s="39" customFormat="1" x14ac:dyDescent="0.3">
      <c r="E454" s="41"/>
      <c r="F454" s="41"/>
      <c r="G454" s="41"/>
      <c r="H454" s="41"/>
      <c r="I454" s="41"/>
      <c r="J454" s="41"/>
      <c r="K454" s="41"/>
      <c r="L454" s="41"/>
    </row>
    <row r="455" spans="5:12" s="39" customFormat="1" x14ac:dyDescent="0.3">
      <c r="E455" s="41"/>
      <c r="F455" s="41"/>
      <c r="G455" s="41"/>
      <c r="H455" s="41"/>
      <c r="I455" s="41"/>
      <c r="J455" s="41"/>
      <c r="K455" s="41"/>
      <c r="L455" s="41"/>
    </row>
    <row r="456" spans="5:12" s="39" customFormat="1" x14ac:dyDescent="0.3">
      <c r="E456" s="41"/>
      <c r="F456" s="41"/>
      <c r="G456" s="41"/>
      <c r="H456" s="41"/>
      <c r="I456" s="41"/>
      <c r="J456" s="41"/>
      <c r="K456" s="41"/>
      <c r="L456" s="41"/>
    </row>
    <row r="457" spans="5:12" s="39" customFormat="1" x14ac:dyDescent="0.3">
      <c r="E457" s="41"/>
      <c r="F457" s="41"/>
      <c r="G457" s="41"/>
      <c r="H457" s="41"/>
      <c r="I457" s="41"/>
      <c r="J457" s="41"/>
      <c r="K457" s="41"/>
      <c r="L457" s="41"/>
    </row>
    <row r="458" spans="5:12" s="39" customFormat="1" x14ac:dyDescent="0.3">
      <c r="E458" s="41"/>
      <c r="F458" s="41"/>
      <c r="G458" s="41"/>
      <c r="H458" s="41"/>
      <c r="I458" s="41"/>
      <c r="J458" s="41"/>
      <c r="K458" s="41"/>
      <c r="L458" s="41"/>
    </row>
    <row r="459" spans="5:12" s="39" customFormat="1" x14ac:dyDescent="0.3">
      <c r="E459" s="41"/>
      <c r="F459" s="41"/>
      <c r="G459" s="41"/>
      <c r="H459" s="41"/>
      <c r="I459" s="41"/>
      <c r="J459" s="41"/>
      <c r="K459" s="41"/>
      <c r="L459" s="41"/>
    </row>
    <row r="460" spans="5:12" s="39" customFormat="1" x14ac:dyDescent="0.3">
      <c r="E460" s="41"/>
      <c r="F460" s="41"/>
      <c r="G460" s="41"/>
      <c r="H460" s="41"/>
      <c r="I460" s="41"/>
      <c r="J460" s="41"/>
      <c r="K460" s="41"/>
      <c r="L460" s="41"/>
    </row>
    <row r="461" spans="5:12" s="39" customFormat="1" x14ac:dyDescent="0.3">
      <c r="E461" s="41"/>
      <c r="F461" s="41"/>
      <c r="G461" s="41"/>
      <c r="H461" s="41"/>
      <c r="I461" s="41"/>
      <c r="J461" s="41"/>
      <c r="K461" s="41"/>
      <c r="L461" s="41"/>
    </row>
    <row r="462" spans="5:12" s="39" customFormat="1" x14ac:dyDescent="0.3">
      <c r="E462" s="41"/>
      <c r="F462" s="41"/>
      <c r="G462" s="41"/>
      <c r="H462" s="41"/>
      <c r="I462" s="41"/>
      <c r="J462" s="41"/>
      <c r="K462" s="41"/>
      <c r="L462" s="41"/>
    </row>
    <row r="463" spans="5:12" s="39" customFormat="1" x14ac:dyDescent="0.3">
      <c r="E463" s="41"/>
      <c r="F463" s="41"/>
      <c r="G463" s="41"/>
      <c r="H463" s="41"/>
      <c r="I463" s="41"/>
      <c r="J463" s="41"/>
      <c r="K463" s="41"/>
      <c r="L463" s="41"/>
    </row>
    <row r="464" spans="5:12" s="39" customFormat="1" x14ac:dyDescent="0.3">
      <c r="E464" s="41"/>
      <c r="F464" s="41"/>
      <c r="G464" s="41"/>
      <c r="H464" s="41"/>
      <c r="I464" s="41"/>
      <c r="J464" s="41"/>
      <c r="K464" s="41"/>
      <c r="L464" s="41"/>
    </row>
    <row r="465" spans="5:12" s="39" customFormat="1" x14ac:dyDescent="0.3">
      <c r="E465" s="41"/>
      <c r="F465" s="41"/>
      <c r="G465" s="41"/>
      <c r="H465" s="41"/>
      <c r="I465" s="41"/>
      <c r="J465" s="41"/>
      <c r="K465" s="41"/>
      <c r="L465" s="41"/>
    </row>
    <row r="466" spans="5:12" s="39" customFormat="1" x14ac:dyDescent="0.3">
      <c r="E466" s="41"/>
      <c r="F466" s="41"/>
      <c r="G466" s="41"/>
      <c r="H466" s="41"/>
      <c r="I466" s="41"/>
      <c r="J466" s="41"/>
      <c r="K466" s="41"/>
      <c r="L466" s="41"/>
    </row>
    <row r="467" spans="5:12" s="39" customFormat="1" x14ac:dyDescent="0.3">
      <c r="E467" s="41"/>
      <c r="F467" s="41"/>
      <c r="G467" s="41"/>
      <c r="H467" s="41"/>
      <c r="I467" s="41"/>
      <c r="J467" s="41"/>
      <c r="K467" s="41"/>
      <c r="L467" s="41"/>
    </row>
    <row r="468" spans="5:12" s="39" customFormat="1" x14ac:dyDescent="0.3">
      <c r="E468" s="41"/>
      <c r="F468" s="41"/>
      <c r="G468" s="41"/>
      <c r="H468" s="41"/>
      <c r="I468" s="41"/>
      <c r="J468" s="41"/>
      <c r="K468" s="41"/>
      <c r="L468" s="41"/>
    </row>
    <row r="469" spans="5:12" s="39" customFormat="1" x14ac:dyDescent="0.3">
      <c r="E469" s="41"/>
      <c r="F469" s="41"/>
      <c r="G469" s="41"/>
      <c r="H469" s="41"/>
      <c r="I469" s="41"/>
      <c r="J469" s="41"/>
      <c r="K469" s="41"/>
      <c r="L469" s="41"/>
    </row>
    <row r="470" spans="5:12" s="39" customFormat="1" x14ac:dyDescent="0.3">
      <c r="E470" s="41"/>
      <c r="F470" s="41"/>
      <c r="G470" s="41"/>
      <c r="H470" s="41"/>
      <c r="I470" s="41"/>
      <c r="J470" s="41"/>
      <c r="K470" s="41"/>
      <c r="L470" s="41"/>
    </row>
    <row r="471" spans="5:12" s="39" customFormat="1" x14ac:dyDescent="0.3">
      <c r="E471" s="41"/>
      <c r="F471" s="41"/>
      <c r="G471" s="41"/>
      <c r="H471" s="41"/>
      <c r="I471" s="41"/>
      <c r="J471" s="41"/>
      <c r="K471" s="41"/>
      <c r="L471" s="41"/>
    </row>
    <row r="472" spans="5:12" s="39" customFormat="1" x14ac:dyDescent="0.3">
      <c r="E472" s="41"/>
      <c r="F472" s="41"/>
      <c r="G472" s="41"/>
      <c r="H472" s="41"/>
      <c r="I472" s="41"/>
      <c r="J472" s="41"/>
      <c r="K472" s="41"/>
      <c r="L472" s="41"/>
    </row>
    <row r="473" spans="5:12" s="39" customFormat="1" x14ac:dyDescent="0.3">
      <c r="E473" s="41"/>
      <c r="F473" s="41"/>
      <c r="G473" s="41"/>
      <c r="H473" s="41"/>
      <c r="I473" s="41"/>
      <c r="J473" s="41"/>
      <c r="K473" s="41"/>
      <c r="L473" s="41"/>
    </row>
    <row r="474" spans="5:12" s="39" customFormat="1" x14ac:dyDescent="0.3">
      <c r="E474" s="41"/>
      <c r="F474" s="41"/>
      <c r="G474" s="41"/>
      <c r="H474" s="41"/>
      <c r="I474" s="41"/>
      <c r="J474" s="41"/>
      <c r="K474" s="41"/>
      <c r="L474" s="41"/>
    </row>
    <row r="475" spans="5:12" s="39" customFormat="1" x14ac:dyDescent="0.3">
      <c r="E475" s="41"/>
      <c r="F475" s="41"/>
      <c r="G475" s="41"/>
      <c r="H475" s="41"/>
      <c r="I475" s="41"/>
      <c r="J475" s="41"/>
      <c r="K475" s="41"/>
      <c r="L475" s="41"/>
    </row>
    <row r="476" spans="5:12" s="39" customFormat="1" x14ac:dyDescent="0.3">
      <c r="E476" s="41"/>
      <c r="F476" s="41"/>
      <c r="G476" s="41"/>
      <c r="H476" s="41"/>
      <c r="I476" s="41"/>
      <c r="J476" s="41"/>
      <c r="K476" s="41"/>
      <c r="L476" s="41"/>
    </row>
    <row r="477" spans="5:12" s="39" customFormat="1" x14ac:dyDescent="0.3">
      <c r="E477" s="41"/>
      <c r="F477" s="41"/>
      <c r="G477" s="41"/>
      <c r="H477" s="41"/>
      <c r="I477" s="41"/>
      <c r="J477" s="41"/>
      <c r="K477" s="41"/>
      <c r="L477" s="41"/>
    </row>
    <row r="478" spans="5:12" s="39" customFormat="1" x14ac:dyDescent="0.3">
      <c r="E478" s="41"/>
      <c r="F478" s="41"/>
      <c r="G478" s="41"/>
      <c r="H478" s="41"/>
      <c r="I478" s="41"/>
      <c r="J478" s="41"/>
      <c r="K478" s="41"/>
      <c r="L478" s="41"/>
    </row>
    <row r="479" spans="5:12" s="39" customFormat="1" x14ac:dyDescent="0.3">
      <c r="E479" s="41"/>
      <c r="F479" s="41"/>
      <c r="G479" s="41"/>
      <c r="H479" s="41"/>
      <c r="I479" s="41"/>
      <c r="J479" s="41"/>
      <c r="K479" s="41"/>
      <c r="L479" s="41"/>
    </row>
    <row r="480" spans="5:12" s="39" customFormat="1" x14ac:dyDescent="0.3">
      <c r="E480" s="41"/>
      <c r="F480" s="41"/>
      <c r="G480" s="41"/>
      <c r="H480" s="41"/>
      <c r="I480" s="41"/>
      <c r="J480" s="41"/>
      <c r="K480" s="41"/>
      <c r="L480" s="41"/>
    </row>
    <row r="481" spans="5:12" s="39" customFormat="1" x14ac:dyDescent="0.3">
      <c r="E481" s="41"/>
      <c r="F481" s="41"/>
      <c r="G481" s="41"/>
      <c r="H481" s="41"/>
      <c r="I481" s="41"/>
      <c r="J481" s="41"/>
      <c r="K481" s="41"/>
      <c r="L481" s="41"/>
    </row>
    <row r="482" spans="5:12" s="39" customFormat="1" x14ac:dyDescent="0.3">
      <c r="E482" s="41"/>
      <c r="F482" s="41"/>
      <c r="G482" s="41"/>
      <c r="H482" s="41"/>
      <c r="I482" s="41"/>
      <c r="J482" s="41"/>
      <c r="K482" s="41"/>
      <c r="L482" s="41"/>
    </row>
    <row r="483" spans="5:12" s="39" customFormat="1" x14ac:dyDescent="0.3">
      <c r="E483" s="41"/>
      <c r="F483" s="41"/>
      <c r="G483" s="41"/>
      <c r="H483" s="41"/>
      <c r="I483" s="41"/>
      <c r="J483" s="41"/>
      <c r="K483" s="41"/>
      <c r="L483" s="41"/>
    </row>
    <row r="484" spans="5:12" s="39" customFormat="1" x14ac:dyDescent="0.3">
      <c r="E484" s="41"/>
      <c r="F484" s="41"/>
      <c r="G484" s="41"/>
      <c r="H484" s="41"/>
      <c r="I484" s="41"/>
      <c r="J484" s="41"/>
      <c r="K484" s="41"/>
      <c r="L484" s="41"/>
    </row>
    <row r="485" spans="5:12" s="39" customFormat="1" x14ac:dyDescent="0.3">
      <c r="E485" s="41"/>
      <c r="F485" s="41"/>
      <c r="G485" s="41"/>
      <c r="H485" s="41"/>
      <c r="I485" s="41"/>
      <c r="J485" s="41"/>
      <c r="K485" s="41"/>
      <c r="L485" s="41"/>
    </row>
    <row r="486" spans="5:12" s="39" customFormat="1" x14ac:dyDescent="0.3">
      <c r="E486" s="41"/>
      <c r="F486" s="41"/>
      <c r="G486" s="41"/>
      <c r="H486" s="41"/>
      <c r="I486" s="41"/>
      <c r="J486" s="41"/>
      <c r="K486" s="41"/>
      <c r="L486" s="41"/>
    </row>
    <row r="487" spans="5:12" s="39" customFormat="1" x14ac:dyDescent="0.3">
      <c r="E487" s="41"/>
      <c r="F487" s="41"/>
      <c r="G487" s="41"/>
      <c r="H487" s="41"/>
      <c r="I487" s="41"/>
      <c r="J487" s="41"/>
      <c r="K487" s="41"/>
      <c r="L487" s="41"/>
    </row>
    <row r="488" spans="5:12" s="39" customFormat="1" x14ac:dyDescent="0.3">
      <c r="E488" s="41"/>
      <c r="F488" s="41"/>
      <c r="G488" s="41"/>
      <c r="H488" s="41"/>
      <c r="I488" s="41"/>
      <c r="J488" s="41"/>
      <c r="K488" s="41"/>
      <c r="L488" s="41"/>
    </row>
    <row r="489" spans="5:12" s="39" customFormat="1" x14ac:dyDescent="0.3">
      <c r="E489" s="41"/>
      <c r="F489" s="41"/>
      <c r="G489" s="41"/>
      <c r="H489" s="41"/>
      <c r="I489" s="41"/>
      <c r="J489" s="41"/>
      <c r="K489" s="41"/>
      <c r="L489" s="41"/>
    </row>
    <row r="490" spans="5:12" s="39" customFormat="1" x14ac:dyDescent="0.3">
      <c r="E490" s="41"/>
      <c r="F490" s="41"/>
      <c r="G490" s="41"/>
      <c r="H490" s="41"/>
      <c r="I490" s="41"/>
      <c r="J490" s="41"/>
      <c r="K490" s="41"/>
      <c r="L490" s="41"/>
    </row>
    <row r="491" spans="5:12" s="39" customFormat="1" x14ac:dyDescent="0.3">
      <c r="E491" s="41"/>
      <c r="F491" s="41"/>
      <c r="G491" s="41"/>
      <c r="H491" s="41"/>
      <c r="I491" s="41"/>
      <c r="J491" s="41"/>
      <c r="K491" s="41"/>
      <c r="L491" s="41"/>
    </row>
    <row r="492" spans="5:12" s="39" customFormat="1" x14ac:dyDescent="0.3">
      <c r="E492" s="41"/>
      <c r="F492" s="41"/>
      <c r="G492" s="41"/>
      <c r="H492" s="41"/>
      <c r="I492" s="41"/>
      <c r="J492" s="41"/>
      <c r="K492" s="41"/>
      <c r="L492" s="41"/>
    </row>
    <row r="493" spans="5:12" s="39" customFormat="1" x14ac:dyDescent="0.3">
      <c r="E493" s="41"/>
      <c r="F493" s="41"/>
      <c r="G493" s="41"/>
      <c r="H493" s="41"/>
      <c r="I493" s="41"/>
      <c r="J493" s="41"/>
      <c r="K493" s="41"/>
      <c r="L493" s="41"/>
    </row>
    <row r="494" spans="5:12" s="39" customFormat="1" x14ac:dyDescent="0.3">
      <c r="E494" s="41"/>
      <c r="F494" s="41"/>
      <c r="G494" s="41"/>
      <c r="H494" s="41"/>
      <c r="I494" s="41"/>
      <c r="J494" s="41"/>
      <c r="K494" s="41"/>
      <c r="L494" s="41"/>
    </row>
    <row r="495" spans="5:12" s="39" customFormat="1" x14ac:dyDescent="0.3">
      <c r="E495" s="41"/>
      <c r="F495" s="41"/>
      <c r="G495" s="41"/>
      <c r="H495" s="41"/>
      <c r="I495" s="41"/>
      <c r="J495" s="41"/>
      <c r="K495" s="41"/>
      <c r="L495" s="41"/>
    </row>
    <row r="496" spans="5:12" s="39" customFormat="1" x14ac:dyDescent="0.3">
      <c r="E496" s="41"/>
      <c r="F496" s="41"/>
      <c r="G496" s="41"/>
      <c r="H496" s="41"/>
      <c r="I496" s="41"/>
      <c r="J496" s="41"/>
      <c r="K496" s="41"/>
      <c r="L496" s="41"/>
    </row>
    <row r="497" spans="5:12" s="39" customFormat="1" x14ac:dyDescent="0.3">
      <c r="E497" s="41"/>
      <c r="F497" s="41"/>
      <c r="G497" s="41"/>
      <c r="H497" s="41"/>
      <c r="I497" s="41"/>
      <c r="J497" s="41"/>
      <c r="K497" s="41"/>
      <c r="L497" s="41"/>
    </row>
    <row r="498" spans="5:12" s="39" customFormat="1" x14ac:dyDescent="0.3">
      <c r="E498" s="41"/>
      <c r="F498" s="41"/>
      <c r="G498" s="41"/>
      <c r="H498" s="41"/>
      <c r="I498" s="41"/>
      <c r="J498" s="41"/>
      <c r="K498" s="41"/>
      <c r="L498" s="41"/>
    </row>
    <row r="499" spans="5:12" s="39" customFormat="1" x14ac:dyDescent="0.3">
      <c r="E499" s="41"/>
      <c r="F499" s="41"/>
      <c r="G499" s="41"/>
      <c r="H499" s="41"/>
      <c r="I499" s="41"/>
      <c r="J499" s="41"/>
      <c r="K499" s="41"/>
      <c r="L499" s="41"/>
    </row>
    <row r="500" spans="5:12" s="39" customFormat="1" x14ac:dyDescent="0.3">
      <c r="E500" s="41"/>
      <c r="F500" s="41"/>
      <c r="G500" s="41"/>
      <c r="H500" s="41"/>
      <c r="I500" s="41"/>
      <c r="J500" s="41"/>
      <c r="K500" s="41"/>
      <c r="L500" s="41"/>
    </row>
    <row r="501" spans="5:12" s="39" customFormat="1" x14ac:dyDescent="0.3">
      <c r="E501" s="41"/>
      <c r="F501" s="41"/>
      <c r="G501" s="41"/>
      <c r="H501" s="41"/>
      <c r="I501" s="41"/>
      <c r="J501" s="41"/>
      <c r="K501" s="41"/>
      <c r="L501" s="41"/>
    </row>
    <row r="502" spans="5:12" s="39" customFormat="1" x14ac:dyDescent="0.3">
      <c r="E502" s="41"/>
      <c r="F502" s="41"/>
      <c r="G502" s="41"/>
      <c r="H502" s="41"/>
      <c r="I502" s="41"/>
      <c r="J502" s="41"/>
      <c r="K502" s="41"/>
      <c r="L502" s="41"/>
    </row>
    <row r="503" spans="5:12" s="39" customFormat="1" x14ac:dyDescent="0.3">
      <c r="E503" s="41"/>
      <c r="F503" s="41"/>
      <c r="G503" s="41"/>
      <c r="H503" s="41"/>
      <c r="I503" s="41"/>
      <c r="J503" s="41"/>
      <c r="K503" s="41"/>
      <c r="L503" s="41"/>
    </row>
    <row r="504" spans="5:12" s="39" customFormat="1" x14ac:dyDescent="0.3">
      <c r="E504" s="41"/>
      <c r="F504" s="41"/>
      <c r="G504" s="41"/>
      <c r="H504" s="41"/>
      <c r="I504" s="41"/>
      <c r="J504" s="41"/>
      <c r="K504" s="41"/>
      <c r="L504" s="41"/>
    </row>
    <row r="505" spans="5:12" s="39" customFormat="1" x14ac:dyDescent="0.3">
      <c r="E505" s="41"/>
      <c r="F505" s="41"/>
      <c r="G505" s="41"/>
      <c r="H505" s="41"/>
      <c r="I505" s="41"/>
      <c r="J505" s="41"/>
      <c r="K505" s="41"/>
      <c r="L505" s="41"/>
    </row>
    <row r="506" spans="5:12" s="39" customFormat="1" x14ac:dyDescent="0.3">
      <c r="E506" s="41"/>
      <c r="F506" s="41"/>
      <c r="G506" s="41"/>
      <c r="H506" s="41"/>
      <c r="I506" s="41"/>
      <c r="J506" s="41"/>
      <c r="K506" s="41"/>
      <c r="L506" s="41"/>
    </row>
    <row r="507" spans="5:12" s="39" customFormat="1" x14ac:dyDescent="0.3">
      <c r="E507" s="41"/>
      <c r="F507" s="41"/>
      <c r="G507" s="41"/>
      <c r="H507" s="41"/>
      <c r="I507" s="41"/>
      <c r="J507" s="41"/>
      <c r="K507" s="41"/>
      <c r="L507" s="41"/>
    </row>
    <row r="508" spans="5:12" s="39" customFormat="1" x14ac:dyDescent="0.3">
      <c r="E508" s="41"/>
      <c r="F508" s="41"/>
      <c r="G508" s="41"/>
      <c r="H508" s="41"/>
      <c r="I508" s="41"/>
      <c r="J508" s="41"/>
      <c r="K508" s="41"/>
      <c r="L508" s="41"/>
    </row>
    <row r="509" spans="5:12" s="39" customFormat="1" x14ac:dyDescent="0.3">
      <c r="E509" s="41"/>
      <c r="F509" s="41"/>
      <c r="G509" s="41"/>
      <c r="H509" s="41"/>
      <c r="I509" s="41"/>
      <c r="J509" s="41"/>
      <c r="K509" s="41"/>
      <c r="L509" s="41"/>
    </row>
    <row r="510" spans="5:12" s="39" customFormat="1" x14ac:dyDescent="0.3">
      <c r="E510" s="41"/>
      <c r="F510" s="41"/>
      <c r="G510" s="41"/>
      <c r="H510" s="41"/>
      <c r="I510" s="41"/>
      <c r="J510" s="41"/>
      <c r="K510" s="41"/>
      <c r="L510" s="41"/>
    </row>
    <row r="511" spans="5:12" s="39" customFormat="1" x14ac:dyDescent="0.3">
      <c r="E511" s="41"/>
      <c r="F511" s="41"/>
      <c r="G511" s="41"/>
      <c r="H511" s="41"/>
      <c r="I511" s="41"/>
      <c r="J511" s="41"/>
      <c r="K511" s="41"/>
      <c r="L511" s="41"/>
    </row>
    <row r="512" spans="5:12" s="39" customFormat="1" x14ac:dyDescent="0.3">
      <c r="E512" s="41"/>
      <c r="F512" s="41"/>
      <c r="G512" s="41"/>
      <c r="H512" s="41"/>
      <c r="I512" s="41"/>
      <c r="J512" s="41"/>
      <c r="K512" s="41"/>
      <c r="L512" s="41"/>
    </row>
    <row r="513" spans="5:12" s="39" customFormat="1" x14ac:dyDescent="0.3">
      <c r="E513" s="41"/>
      <c r="F513" s="41"/>
      <c r="G513" s="41"/>
      <c r="H513" s="41"/>
      <c r="I513" s="41"/>
      <c r="J513" s="41"/>
      <c r="K513" s="41"/>
      <c r="L513" s="41"/>
    </row>
    <row r="514" spans="5:12" s="39" customFormat="1" x14ac:dyDescent="0.3">
      <c r="E514" s="41"/>
      <c r="F514" s="41"/>
      <c r="G514" s="41"/>
      <c r="H514" s="41"/>
      <c r="I514" s="41"/>
      <c r="J514" s="41"/>
      <c r="K514" s="41"/>
      <c r="L514" s="41"/>
    </row>
    <row r="515" spans="5:12" s="39" customFormat="1" x14ac:dyDescent="0.3">
      <c r="E515" s="41"/>
      <c r="F515" s="41"/>
      <c r="G515" s="41"/>
      <c r="H515" s="41"/>
      <c r="I515" s="41"/>
      <c r="J515" s="41"/>
      <c r="K515" s="41"/>
      <c r="L515" s="41"/>
    </row>
    <row r="516" spans="5:12" s="39" customFormat="1" x14ac:dyDescent="0.3">
      <c r="E516" s="41"/>
      <c r="F516" s="41"/>
      <c r="G516" s="41"/>
      <c r="H516" s="41"/>
      <c r="I516" s="41"/>
      <c r="J516" s="41"/>
      <c r="K516" s="41"/>
      <c r="L516" s="41"/>
    </row>
    <row r="517" spans="5:12" s="39" customFormat="1" x14ac:dyDescent="0.3">
      <c r="E517" s="41"/>
      <c r="F517" s="41"/>
      <c r="G517" s="41"/>
      <c r="H517" s="41"/>
      <c r="I517" s="41"/>
      <c r="J517" s="41"/>
      <c r="K517" s="41"/>
      <c r="L517" s="41"/>
    </row>
    <row r="518" spans="5:12" s="39" customFormat="1" x14ac:dyDescent="0.3">
      <c r="E518" s="41"/>
      <c r="F518" s="41"/>
      <c r="G518" s="41"/>
      <c r="H518" s="41"/>
      <c r="I518" s="41"/>
      <c r="J518" s="41"/>
      <c r="K518" s="41"/>
      <c r="L518" s="41"/>
    </row>
    <row r="519" spans="5:12" s="39" customFormat="1" x14ac:dyDescent="0.3">
      <c r="E519" s="41"/>
      <c r="F519" s="41"/>
      <c r="G519" s="41"/>
      <c r="H519" s="41"/>
      <c r="I519" s="41"/>
      <c r="J519" s="41"/>
      <c r="K519" s="41"/>
      <c r="L519" s="41"/>
    </row>
    <row r="520" spans="5:12" s="39" customFormat="1" x14ac:dyDescent="0.3">
      <c r="E520" s="41"/>
      <c r="F520" s="41"/>
      <c r="G520" s="41"/>
      <c r="H520" s="41"/>
      <c r="I520" s="41"/>
      <c r="J520" s="41"/>
      <c r="K520" s="41"/>
      <c r="L520" s="41"/>
    </row>
    <row r="521" spans="5:12" s="39" customFormat="1" x14ac:dyDescent="0.3">
      <c r="E521" s="41"/>
      <c r="F521" s="41"/>
      <c r="G521" s="41"/>
      <c r="H521" s="41"/>
      <c r="I521" s="41"/>
      <c r="J521" s="41"/>
      <c r="K521" s="41"/>
      <c r="L521" s="41"/>
    </row>
    <row r="522" spans="5:12" s="39" customFormat="1" x14ac:dyDescent="0.3">
      <c r="E522" s="41"/>
      <c r="F522" s="41"/>
      <c r="G522" s="41"/>
      <c r="H522" s="41"/>
      <c r="I522" s="41"/>
      <c r="J522" s="41"/>
      <c r="K522" s="41"/>
      <c r="L522" s="41"/>
    </row>
    <row r="523" spans="5:12" s="39" customFormat="1" x14ac:dyDescent="0.3">
      <c r="E523" s="41"/>
      <c r="F523" s="41"/>
      <c r="G523" s="41"/>
      <c r="H523" s="41"/>
      <c r="I523" s="41"/>
      <c r="J523" s="41"/>
      <c r="K523" s="41"/>
      <c r="L523" s="41"/>
    </row>
    <row r="524" spans="5:12" s="39" customFormat="1" x14ac:dyDescent="0.3">
      <c r="E524" s="41"/>
      <c r="F524" s="41"/>
      <c r="G524" s="41"/>
      <c r="H524" s="41"/>
      <c r="I524" s="41"/>
      <c r="J524" s="41"/>
      <c r="K524" s="41"/>
      <c r="L524" s="41"/>
    </row>
    <row r="525" spans="5:12" s="39" customFormat="1" x14ac:dyDescent="0.3">
      <c r="E525" s="41"/>
      <c r="F525" s="41"/>
      <c r="G525" s="41"/>
      <c r="H525" s="41"/>
      <c r="I525" s="41"/>
      <c r="J525" s="41"/>
      <c r="K525" s="41"/>
      <c r="L525" s="41"/>
    </row>
    <row r="526" spans="5:12" s="39" customFormat="1" x14ac:dyDescent="0.3">
      <c r="E526" s="41"/>
      <c r="F526" s="41"/>
      <c r="G526" s="41"/>
      <c r="H526" s="41"/>
      <c r="I526" s="41"/>
      <c r="J526" s="41"/>
      <c r="K526" s="41"/>
      <c r="L526" s="41"/>
    </row>
    <row r="527" spans="5:12" s="39" customFormat="1" x14ac:dyDescent="0.3">
      <c r="E527" s="41"/>
      <c r="F527" s="41"/>
      <c r="G527" s="41"/>
      <c r="H527" s="41"/>
      <c r="I527" s="41"/>
      <c r="J527" s="41"/>
      <c r="K527" s="41"/>
      <c r="L527" s="41"/>
    </row>
    <row r="528" spans="5:12" s="39" customFormat="1" x14ac:dyDescent="0.3">
      <c r="E528" s="41"/>
      <c r="F528" s="41"/>
      <c r="G528" s="41"/>
      <c r="H528" s="41"/>
      <c r="I528" s="41"/>
      <c r="J528" s="41"/>
      <c r="K528" s="41"/>
      <c r="L528" s="41"/>
    </row>
    <row r="529" spans="5:12" s="39" customFormat="1" x14ac:dyDescent="0.3">
      <c r="E529" s="41"/>
      <c r="F529" s="41"/>
      <c r="G529" s="41"/>
      <c r="H529" s="41"/>
      <c r="I529" s="41"/>
      <c r="J529" s="41"/>
      <c r="K529" s="41"/>
      <c r="L529" s="41"/>
    </row>
    <row r="530" spans="5:12" s="39" customFormat="1" x14ac:dyDescent="0.3">
      <c r="E530" s="41"/>
      <c r="F530" s="41"/>
      <c r="G530" s="41"/>
      <c r="H530" s="41"/>
      <c r="I530" s="41"/>
      <c r="J530" s="41"/>
      <c r="K530" s="41"/>
      <c r="L530" s="41"/>
    </row>
    <row r="531" spans="5:12" s="39" customFormat="1" x14ac:dyDescent="0.3">
      <c r="E531" s="41"/>
      <c r="F531" s="41"/>
      <c r="G531" s="41"/>
      <c r="H531" s="41"/>
      <c r="I531" s="41"/>
      <c r="J531" s="41"/>
      <c r="K531" s="41"/>
      <c r="L531" s="41"/>
    </row>
    <row r="532" spans="5:12" s="39" customFormat="1" x14ac:dyDescent="0.3">
      <c r="E532" s="41"/>
      <c r="F532" s="41"/>
      <c r="G532" s="41"/>
      <c r="H532" s="41"/>
      <c r="I532" s="41"/>
      <c r="J532" s="41"/>
      <c r="K532" s="41"/>
      <c r="L532" s="41"/>
    </row>
    <row r="533" spans="5:12" s="39" customFormat="1" x14ac:dyDescent="0.3">
      <c r="E533" s="41"/>
      <c r="F533" s="41"/>
      <c r="G533" s="41"/>
      <c r="H533" s="41"/>
      <c r="I533" s="41"/>
      <c r="J533" s="41"/>
      <c r="K533" s="41"/>
      <c r="L533" s="41"/>
    </row>
    <row r="534" spans="5:12" s="39" customFormat="1" x14ac:dyDescent="0.3">
      <c r="E534" s="41"/>
      <c r="F534" s="41"/>
      <c r="G534" s="41"/>
      <c r="H534" s="41"/>
      <c r="I534" s="41"/>
      <c r="J534" s="41"/>
      <c r="K534" s="41"/>
      <c r="L534" s="41"/>
    </row>
    <row r="535" spans="5:12" s="39" customFormat="1" x14ac:dyDescent="0.3">
      <c r="E535" s="41"/>
      <c r="F535" s="41"/>
      <c r="G535" s="41"/>
      <c r="H535" s="41"/>
      <c r="I535" s="41"/>
      <c r="J535" s="41"/>
      <c r="K535" s="41"/>
      <c r="L535" s="41"/>
    </row>
    <row r="536" spans="5:12" s="39" customFormat="1" x14ac:dyDescent="0.3">
      <c r="E536" s="41"/>
      <c r="F536" s="41"/>
      <c r="G536" s="41"/>
      <c r="H536" s="41"/>
      <c r="I536" s="41"/>
      <c r="J536" s="41"/>
      <c r="K536" s="41"/>
      <c r="L536" s="41"/>
    </row>
    <row r="537" spans="5:12" s="39" customFormat="1" x14ac:dyDescent="0.3">
      <c r="E537" s="41"/>
      <c r="F537" s="41"/>
      <c r="G537" s="41"/>
      <c r="H537" s="41"/>
      <c r="I537" s="41"/>
      <c r="J537" s="41"/>
      <c r="K537" s="41"/>
      <c r="L537" s="41"/>
    </row>
    <row r="538" spans="5:12" s="39" customFormat="1" x14ac:dyDescent="0.3">
      <c r="E538" s="41"/>
      <c r="F538" s="41"/>
      <c r="G538" s="41"/>
      <c r="H538" s="41"/>
      <c r="I538" s="41"/>
      <c r="J538" s="41"/>
      <c r="K538" s="41"/>
      <c r="L538" s="41"/>
    </row>
    <row r="539" spans="5:12" s="39" customFormat="1" x14ac:dyDescent="0.3">
      <c r="E539" s="41"/>
      <c r="F539" s="41"/>
      <c r="G539" s="41"/>
      <c r="H539" s="41"/>
      <c r="I539" s="41"/>
      <c r="J539" s="41"/>
      <c r="K539" s="41"/>
      <c r="L539" s="41"/>
    </row>
    <row r="540" spans="5:12" s="39" customFormat="1" x14ac:dyDescent="0.3">
      <c r="E540" s="41"/>
      <c r="F540" s="41"/>
      <c r="G540" s="41"/>
      <c r="H540" s="41"/>
      <c r="I540" s="41"/>
      <c r="J540" s="41"/>
      <c r="K540" s="41"/>
      <c r="L540" s="41"/>
    </row>
    <row r="541" spans="5:12" s="39" customFormat="1" x14ac:dyDescent="0.3">
      <c r="E541" s="41"/>
      <c r="F541" s="41"/>
      <c r="G541" s="41"/>
      <c r="H541" s="41"/>
      <c r="I541" s="41"/>
      <c r="J541" s="41"/>
      <c r="K541" s="41"/>
      <c r="L541" s="41"/>
    </row>
    <row r="542" spans="5:12" s="39" customFormat="1" x14ac:dyDescent="0.3">
      <c r="E542" s="41"/>
      <c r="F542" s="41"/>
      <c r="G542" s="41"/>
      <c r="H542" s="41"/>
      <c r="I542" s="41"/>
      <c r="J542" s="41"/>
      <c r="K542" s="41"/>
      <c r="L542" s="41"/>
    </row>
    <row r="543" spans="5:12" s="39" customFormat="1" x14ac:dyDescent="0.3">
      <c r="E543" s="41"/>
      <c r="F543" s="41"/>
      <c r="G543" s="41"/>
      <c r="H543" s="41"/>
      <c r="I543" s="41"/>
      <c r="J543" s="41"/>
      <c r="K543" s="41"/>
      <c r="L543" s="41"/>
    </row>
    <row r="544" spans="5:12" s="39" customFormat="1" x14ac:dyDescent="0.3">
      <c r="E544" s="41"/>
      <c r="F544" s="41"/>
      <c r="G544" s="41"/>
      <c r="H544" s="41"/>
      <c r="I544" s="41"/>
      <c r="J544" s="41"/>
      <c r="K544" s="41"/>
      <c r="L544" s="41"/>
    </row>
    <row r="545" spans="5:12" s="39" customFormat="1" x14ac:dyDescent="0.3">
      <c r="E545" s="41"/>
      <c r="F545" s="41"/>
      <c r="G545" s="41"/>
      <c r="H545" s="41"/>
      <c r="I545" s="41"/>
      <c r="J545" s="41"/>
      <c r="K545" s="41"/>
      <c r="L545" s="41"/>
    </row>
    <row r="546" spans="5:12" s="39" customFormat="1" x14ac:dyDescent="0.3">
      <c r="E546" s="41"/>
      <c r="F546" s="41"/>
      <c r="G546" s="41"/>
      <c r="H546" s="41"/>
      <c r="I546" s="41"/>
      <c r="J546" s="41"/>
      <c r="K546" s="41"/>
      <c r="L546" s="41"/>
    </row>
    <row r="547" spans="5:12" s="39" customFormat="1" x14ac:dyDescent="0.3">
      <c r="E547" s="41"/>
      <c r="F547" s="41"/>
      <c r="G547" s="41"/>
      <c r="H547" s="41"/>
      <c r="I547" s="41"/>
      <c r="J547" s="41"/>
      <c r="K547" s="41"/>
      <c r="L547" s="41"/>
    </row>
    <row r="548" spans="5:12" s="39" customFormat="1" x14ac:dyDescent="0.3">
      <c r="E548" s="41"/>
      <c r="F548" s="41"/>
      <c r="G548" s="41"/>
      <c r="H548" s="41"/>
      <c r="I548" s="41"/>
      <c r="J548" s="41"/>
      <c r="K548" s="41"/>
      <c r="L548" s="41"/>
    </row>
    <row r="549" spans="5:12" s="39" customFormat="1" x14ac:dyDescent="0.3">
      <c r="E549" s="41"/>
      <c r="F549" s="41"/>
      <c r="G549" s="41"/>
      <c r="H549" s="41"/>
      <c r="I549" s="41"/>
      <c r="J549" s="41"/>
      <c r="K549" s="41"/>
      <c r="L549" s="41"/>
    </row>
    <row r="550" spans="5:12" s="39" customFormat="1" x14ac:dyDescent="0.3">
      <c r="E550" s="41"/>
      <c r="F550" s="41"/>
      <c r="G550" s="41"/>
      <c r="H550" s="41"/>
      <c r="I550" s="41"/>
      <c r="J550" s="41"/>
      <c r="K550" s="41"/>
      <c r="L550" s="41"/>
    </row>
    <row r="551" spans="5:12" s="39" customFormat="1" x14ac:dyDescent="0.3">
      <c r="E551" s="41"/>
      <c r="F551" s="41"/>
      <c r="G551" s="41"/>
      <c r="H551" s="41"/>
      <c r="I551" s="41"/>
      <c r="J551" s="41"/>
      <c r="K551" s="41"/>
      <c r="L551" s="41"/>
    </row>
    <row r="552" spans="5:12" s="39" customFormat="1" x14ac:dyDescent="0.3">
      <c r="E552" s="41"/>
      <c r="F552" s="41"/>
      <c r="G552" s="41"/>
      <c r="H552" s="41"/>
      <c r="I552" s="41"/>
      <c r="J552" s="41"/>
      <c r="K552" s="41"/>
      <c r="L552" s="41"/>
    </row>
    <row r="553" spans="5:12" s="39" customFormat="1" x14ac:dyDescent="0.3">
      <c r="E553" s="41"/>
      <c r="F553" s="41"/>
      <c r="G553" s="41"/>
      <c r="H553" s="41"/>
      <c r="I553" s="41"/>
      <c r="J553" s="41"/>
      <c r="K553" s="41"/>
      <c r="L553" s="41"/>
    </row>
    <row r="554" spans="5:12" s="39" customFormat="1" x14ac:dyDescent="0.3">
      <c r="E554" s="41"/>
      <c r="F554" s="41"/>
      <c r="G554" s="41"/>
      <c r="H554" s="41"/>
      <c r="I554" s="41"/>
      <c r="J554" s="41"/>
      <c r="K554" s="41"/>
      <c r="L554" s="41"/>
    </row>
    <row r="555" spans="5:12" s="39" customFormat="1" x14ac:dyDescent="0.3">
      <c r="E555" s="41"/>
      <c r="F555" s="41"/>
      <c r="G555" s="41"/>
      <c r="H555" s="41"/>
      <c r="I555" s="41"/>
      <c r="J555" s="41"/>
      <c r="K555" s="41"/>
      <c r="L555" s="41"/>
    </row>
    <row r="556" spans="5:12" s="39" customFormat="1" x14ac:dyDescent="0.3">
      <c r="E556" s="41"/>
      <c r="F556" s="41"/>
      <c r="G556" s="41"/>
      <c r="H556" s="41"/>
      <c r="I556" s="41"/>
      <c r="J556" s="41"/>
      <c r="K556" s="41"/>
      <c r="L556" s="41"/>
    </row>
    <row r="557" spans="5:12" s="39" customFormat="1" x14ac:dyDescent="0.3">
      <c r="E557" s="41"/>
      <c r="F557" s="41"/>
      <c r="G557" s="41"/>
      <c r="H557" s="41"/>
      <c r="I557" s="41"/>
      <c r="J557" s="41"/>
      <c r="K557" s="41"/>
      <c r="L557" s="41"/>
    </row>
    <row r="558" spans="5:12" s="39" customFormat="1" x14ac:dyDescent="0.3">
      <c r="E558" s="41"/>
      <c r="F558" s="41"/>
      <c r="G558" s="41"/>
      <c r="H558" s="41"/>
      <c r="I558" s="41"/>
      <c r="J558" s="41"/>
      <c r="K558" s="41"/>
      <c r="L558" s="41"/>
    </row>
    <row r="559" spans="5:12" s="39" customFormat="1" x14ac:dyDescent="0.3">
      <c r="E559" s="41"/>
      <c r="F559" s="41"/>
      <c r="G559" s="41"/>
      <c r="H559" s="41"/>
      <c r="I559" s="41"/>
      <c r="J559" s="41"/>
      <c r="K559" s="41"/>
      <c r="L559" s="41"/>
    </row>
    <row r="560" spans="5:12" s="39" customFormat="1" x14ac:dyDescent="0.3">
      <c r="E560" s="41"/>
      <c r="F560" s="41"/>
      <c r="G560" s="41"/>
      <c r="H560" s="41"/>
      <c r="I560" s="41"/>
      <c r="J560" s="41"/>
      <c r="K560" s="41"/>
      <c r="L560" s="41"/>
    </row>
    <row r="561" spans="5:12" s="39" customFormat="1" x14ac:dyDescent="0.3">
      <c r="E561" s="41"/>
      <c r="F561" s="41"/>
      <c r="G561" s="41"/>
      <c r="H561" s="41"/>
      <c r="I561" s="41"/>
      <c r="J561" s="41"/>
      <c r="K561" s="41"/>
      <c r="L561" s="41"/>
    </row>
    <row r="562" spans="5:12" s="39" customFormat="1" x14ac:dyDescent="0.3">
      <c r="E562" s="41"/>
      <c r="F562" s="41"/>
      <c r="G562" s="41"/>
      <c r="H562" s="41"/>
      <c r="I562" s="41"/>
      <c r="J562" s="41"/>
      <c r="K562" s="41"/>
      <c r="L562" s="41"/>
    </row>
    <row r="563" spans="5:12" s="39" customFormat="1" x14ac:dyDescent="0.3">
      <c r="E563" s="41"/>
      <c r="F563" s="41"/>
      <c r="G563" s="41"/>
      <c r="H563" s="41"/>
      <c r="I563" s="41"/>
      <c r="J563" s="41"/>
      <c r="K563" s="41"/>
      <c r="L563" s="41"/>
    </row>
    <row r="564" spans="5:12" s="39" customFormat="1" x14ac:dyDescent="0.3">
      <c r="E564" s="41"/>
      <c r="F564" s="41"/>
      <c r="G564" s="41"/>
      <c r="H564" s="41"/>
      <c r="I564" s="41"/>
      <c r="J564" s="41"/>
      <c r="K564" s="41"/>
      <c r="L564" s="41"/>
    </row>
    <row r="565" spans="5:12" s="39" customFormat="1" x14ac:dyDescent="0.3">
      <c r="E565" s="41"/>
      <c r="F565" s="41"/>
      <c r="G565" s="41"/>
      <c r="H565" s="41"/>
      <c r="I565" s="41"/>
      <c r="J565" s="41"/>
      <c r="K565" s="41"/>
      <c r="L565" s="41"/>
    </row>
    <row r="566" spans="5:12" s="39" customFormat="1" x14ac:dyDescent="0.3">
      <c r="E566" s="41"/>
      <c r="F566" s="41"/>
      <c r="G566" s="41"/>
      <c r="H566" s="41"/>
      <c r="I566" s="41"/>
      <c r="J566" s="41"/>
      <c r="K566" s="41"/>
      <c r="L566" s="41"/>
    </row>
    <row r="567" spans="5:12" s="39" customFormat="1" x14ac:dyDescent="0.3">
      <c r="E567" s="41"/>
      <c r="F567" s="41"/>
      <c r="G567" s="41"/>
      <c r="H567" s="41"/>
      <c r="I567" s="41"/>
      <c r="J567" s="41"/>
      <c r="K567" s="41"/>
      <c r="L567" s="41"/>
    </row>
    <row r="568" spans="5:12" s="39" customFormat="1" x14ac:dyDescent="0.3">
      <c r="E568" s="41"/>
      <c r="F568" s="41"/>
      <c r="G568" s="41"/>
      <c r="H568" s="41"/>
      <c r="I568" s="41"/>
      <c r="J568" s="41"/>
      <c r="K568" s="41"/>
      <c r="L568" s="41"/>
    </row>
    <row r="569" spans="5:12" s="39" customFormat="1" x14ac:dyDescent="0.3">
      <c r="E569" s="41"/>
      <c r="F569" s="41"/>
      <c r="G569" s="41"/>
      <c r="H569" s="41"/>
      <c r="I569" s="41"/>
      <c r="J569" s="41"/>
      <c r="K569" s="41"/>
      <c r="L569" s="41"/>
    </row>
    <row r="570" spans="5:12" s="39" customFormat="1" x14ac:dyDescent="0.3">
      <c r="E570" s="41"/>
      <c r="F570" s="41"/>
      <c r="G570" s="41"/>
      <c r="H570" s="41"/>
      <c r="I570" s="41"/>
      <c r="J570" s="41"/>
      <c r="K570" s="41"/>
      <c r="L570" s="41"/>
    </row>
    <row r="571" spans="5:12" s="39" customFormat="1" x14ac:dyDescent="0.3">
      <c r="E571" s="41"/>
      <c r="F571" s="41"/>
      <c r="G571" s="41"/>
      <c r="H571" s="41"/>
      <c r="I571" s="41"/>
      <c r="J571" s="41"/>
      <c r="K571" s="41"/>
      <c r="L571" s="41"/>
    </row>
    <row r="572" spans="5:12" s="39" customFormat="1" x14ac:dyDescent="0.3">
      <c r="E572" s="41"/>
      <c r="F572" s="41"/>
      <c r="G572" s="41"/>
      <c r="H572" s="41"/>
      <c r="I572" s="41"/>
      <c r="J572" s="41"/>
      <c r="K572" s="41"/>
      <c r="L572" s="41"/>
    </row>
    <row r="573" spans="5:12" s="39" customFormat="1" x14ac:dyDescent="0.3">
      <c r="E573" s="41"/>
      <c r="F573" s="41"/>
      <c r="G573" s="41"/>
      <c r="H573" s="41"/>
      <c r="I573" s="41"/>
      <c r="J573" s="41"/>
      <c r="K573" s="41"/>
      <c r="L573" s="41"/>
    </row>
    <row r="574" spans="5:12" s="39" customFormat="1" x14ac:dyDescent="0.3">
      <c r="E574" s="41"/>
      <c r="F574" s="41"/>
      <c r="G574" s="41"/>
      <c r="H574" s="41"/>
      <c r="I574" s="41"/>
      <c r="J574" s="41"/>
      <c r="K574" s="41"/>
      <c r="L574" s="41"/>
    </row>
    <row r="575" spans="5:12" s="39" customFormat="1" x14ac:dyDescent="0.3">
      <c r="E575" s="41"/>
      <c r="F575" s="41"/>
      <c r="G575" s="41"/>
      <c r="H575" s="41"/>
      <c r="I575" s="41"/>
      <c r="J575" s="41"/>
      <c r="K575" s="41"/>
      <c r="L575" s="41"/>
    </row>
    <row r="576" spans="5:12" s="39" customFormat="1" x14ac:dyDescent="0.3">
      <c r="E576" s="41"/>
      <c r="F576" s="41"/>
      <c r="G576" s="41"/>
      <c r="H576" s="41"/>
      <c r="I576" s="41"/>
      <c r="J576" s="41"/>
      <c r="K576" s="41"/>
      <c r="L576" s="41"/>
    </row>
    <row r="577" spans="5:12" s="39" customFormat="1" x14ac:dyDescent="0.3">
      <c r="E577" s="41"/>
      <c r="F577" s="41"/>
      <c r="G577" s="41"/>
      <c r="H577" s="41"/>
      <c r="I577" s="41"/>
      <c r="J577" s="41"/>
      <c r="K577" s="41"/>
      <c r="L577" s="41"/>
    </row>
    <row r="578" spans="5:12" s="39" customFormat="1" x14ac:dyDescent="0.3">
      <c r="E578" s="41"/>
      <c r="F578" s="41"/>
      <c r="G578" s="41"/>
      <c r="H578" s="41"/>
      <c r="I578" s="41"/>
      <c r="J578" s="41"/>
      <c r="K578" s="41"/>
      <c r="L578" s="41"/>
    </row>
    <row r="579" spans="5:12" s="39" customFormat="1" x14ac:dyDescent="0.3">
      <c r="E579" s="41"/>
      <c r="F579" s="41"/>
      <c r="G579" s="41"/>
      <c r="H579" s="41"/>
      <c r="I579" s="41"/>
      <c r="J579" s="41"/>
      <c r="K579" s="41"/>
      <c r="L579" s="41"/>
    </row>
    <row r="580" spans="5:12" s="39" customFormat="1" x14ac:dyDescent="0.3">
      <c r="E580" s="41"/>
      <c r="F580" s="41"/>
      <c r="G580" s="41"/>
      <c r="H580" s="41"/>
      <c r="I580" s="41"/>
      <c r="J580" s="41"/>
      <c r="K580" s="41"/>
      <c r="L580" s="41"/>
    </row>
    <row r="581" spans="5:12" s="39" customFormat="1" x14ac:dyDescent="0.3">
      <c r="E581" s="41"/>
      <c r="F581" s="41"/>
      <c r="G581" s="41"/>
      <c r="H581" s="41"/>
      <c r="I581" s="41"/>
      <c r="J581" s="41"/>
      <c r="K581" s="41"/>
      <c r="L581" s="41"/>
    </row>
    <row r="582" spans="5:12" s="39" customFormat="1" x14ac:dyDescent="0.3">
      <c r="E582" s="41"/>
      <c r="F582" s="41"/>
      <c r="G582" s="41"/>
      <c r="H582" s="41"/>
      <c r="I582" s="41"/>
      <c r="J582" s="41"/>
      <c r="K582" s="41"/>
      <c r="L582" s="41"/>
    </row>
    <row r="583" spans="5:12" s="39" customFormat="1" x14ac:dyDescent="0.3">
      <c r="E583" s="41"/>
      <c r="F583" s="41"/>
      <c r="G583" s="41"/>
      <c r="H583" s="41"/>
      <c r="I583" s="41"/>
      <c r="J583" s="41"/>
      <c r="K583" s="41"/>
      <c r="L583" s="41"/>
    </row>
    <row r="584" spans="5:12" s="39" customFormat="1" x14ac:dyDescent="0.3">
      <c r="E584" s="41"/>
      <c r="F584" s="41"/>
      <c r="G584" s="41"/>
      <c r="H584" s="41"/>
      <c r="I584" s="41"/>
      <c r="J584" s="41"/>
      <c r="K584" s="41"/>
      <c r="L584" s="41"/>
    </row>
    <row r="585" spans="5:12" s="39" customFormat="1" x14ac:dyDescent="0.3">
      <c r="E585" s="41"/>
      <c r="F585" s="41"/>
      <c r="G585" s="41"/>
      <c r="H585" s="41"/>
      <c r="I585" s="41"/>
      <c r="J585" s="41"/>
      <c r="K585" s="41"/>
      <c r="L585" s="41"/>
    </row>
    <row r="586" spans="5:12" s="39" customFormat="1" x14ac:dyDescent="0.3">
      <c r="E586" s="41"/>
      <c r="F586" s="41"/>
      <c r="G586" s="41"/>
      <c r="H586" s="41"/>
      <c r="I586" s="41"/>
      <c r="J586" s="41"/>
      <c r="K586" s="41"/>
      <c r="L586" s="41"/>
    </row>
    <row r="587" spans="5:12" s="39" customFormat="1" x14ac:dyDescent="0.3">
      <c r="E587" s="41"/>
      <c r="F587" s="41"/>
      <c r="G587" s="41"/>
      <c r="H587" s="41"/>
      <c r="I587" s="41"/>
      <c r="J587" s="41"/>
      <c r="K587" s="41"/>
      <c r="L587" s="41"/>
    </row>
    <row r="588" spans="5:12" s="39" customFormat="1" x14ac:dyDescent="0.3">
      <c r="E588" s="41"/>
      <c r="F588" s="41"/>
      <c r="G588" s="41"/>
      <c r="H588" s="41"/>
      <c r="I588" s="41"/>
      <c r="J588" s="41"/>
      <c r="K588" s="41"/>
      <c r="L588" s="41"/>
    </row>
    <row r="589" spans="5:12" s="39" customFormat="1" x14ac:dyDescent="0.3">
      <c r="E589" s="41"/>
      <c r="F589" s="41"/>
      <c r="G589" s="41"/>
      <c r="H589" s="41"/>
      <c r="I589" s="41"/>
      <c r="J589" s="41"/>
      <c r="K589" s="41"/>
      <c r="L589" s="41"/>
    </row>
    <row r="590" spans="5:12" s="39" customFormat="1" x14ac:dyDescent="0.3">
      <c r="E590" s="41"/>
      <c r="F590" s="41"/>
      <c r="G590" s="41"/>
      <c r="H590" s="41"/>
      <c r="I590" s="41"/>
      <c r="J590" s="41"/>
      <c r="K590" s="41"/>
      <c r="L590" s="41"/>
    </row>
    <row r="591" spans="5:12" s="39" customFormat="1" x14ac:dyDescent="0.3">
      <c r="E591" s="41"/>
      <c r="F591" s="41"/>
      <c r="G591" s="41"/>
      <c r="H591" s="41"/>
      <c r="I591" s="41"/>
      <c r="J591" s="41"/>
      <c r="K591" s="41"/>
      <c r="L591" s="41"/>
    </row>
    <row r="592" spans="5:12" s="39" customFormat="1" x14ac:dyDescent="0.3">
      <c r="E592" s="41"/>
      <c r="F592" s="41"/>
      <c r="G592" s="41"/>
      <c r="H592" s="41"/>
      <c r="I592" s="41"/>
      <c r="J592" s="41"/>
      <c r="K592" s="41"/>
      <c r="L592" s="41"/>
    </row>
    <row r="593" spans="5:12" s="39" customFormat="1" x14ac:dyDescent="0.3">
      <c r="E593" s="41"/>
      <c r="F593" s="41"/>
      <c r="G593" s="41"/>
      <c r="H593" s="41"/>
      <c r="I593" s="41"/>
      <c r="J593" s="41"/>
      <c r="K593" s="41"/>
      <c r="L593" s="41"/>
    </row>
    <row r="594" spans="5:12" s="39" customFormat="1" x14ac:dyDescent="0.3">
      <c r="E594" s="41"/>
      <c r="F594" s="41"/>
      <c r="G594" s="41"/>
      <c r="H594" s="41"/>
      <c r="I594" s="41"/>
      <c r="J594" s="41"/>
      <c r="K594" s="41"/>
      <c r="L594" s="41"/>
    </row>
    <row r="595" spans="5:12" s="39" customFormat="1" x14ac:dyDescent="0.3">
      <c r="E595" s="41"/>
      <c r="F595" s="41"/>
      <c r="G595" s="41"/>
      <c r="H595" s="41"/>
      <c r="I595" s="41"/>
      <c r="J595" s="41"/>
      <c r="K595" s="41"/>
      <c r="L595" s="41"/>
    </row>
    <row r="596" spans="5:12" s="39" customFormat="1" x14ac:dyDescent="0.3">
      <c r="E596" s="41"/>
      <c r="F596" s="41"/>
      <c r="G596" s="41"/>
      <c r="H596" s="41"/>
      <c r="I596" s="41"/>
      <c r="J596" s="41"/>
      <c r="K596" s="41"/>
      <c r="L596" s="41"/>
    </row>
    <row r="597" spans="5:12" s="39" customFormat="1" x14ac:dyDescent="0.3">
      <c r="E597" s="41"/>
      <c r="F597" s="41"/>
      <c r="G597" s="41"/>
      <c r="H597" s="41"/>
      <c r="I597" s="41"/>
      <c r="J597" s="41"/>
      <c r="K597" s="41"/>
      <c r="L597" s="41"/>
    </row>
    <row r="598" spans="5:12" s="39" customFormat="1" x14ac:dyDescent="0.3">
      <c r="E598" s="41"/>
      <c r="F598" s="41"/>
      <c r="G598" s="41"/>
      <c r="H598" s="41"/>
      <c r="I598" s="41"/>
      <c r="J598" s="41"/>
      <c r="K598" s="41"/>
      <c r="L598" s="41"/>
    </row>
    <row r="599" spans="5:12" s="39" customFormat="1" x14ac:dyDescent="0.3">
      <c r="E599" s="41"/>
      <c r="F599" s="41"/>
      <c r="G599" s="41"/>
      <c r="H599" s="41"/>
      <c r="I599" s="41"/>
      <c r="J599" s="41"/>
      <c r="K599" s="41"/>
      <c r="L599" s="41"/>
    </row>
    <row r="600" spans="5:12" s="39" customFormat="1" x14ac:dyDescent="0.3">
      <c r="E600" s="41"/>
      <c r="F600" s="41"/>
      <c r="G600" s="41"/>
      <c r="H600" s="41"/>
      <c r="I600" s="41"/>
      <c r="J600" s="41"/>
      <c r="K600" s="41"/>
      <c r="L600" s="41"/>
    </row>
    <row r="601" spans="5:12" s="39" customFormat="1" x14ac:dyDescent="0.3">
      <c r="E601" s="41"/>
      <c r="F601" s="41"/>
      <c r="G601" s="41"/>
      <c r="H601" s="41"/>
      <c r="I601" s="41"/>
      <c r="J601" s="41"/>
      <c r="K601" s="41"/>
      <c r="L601" s="41"/>
    </row>
    <row r="602" spans="5:12" s="39" customFormat="1" x14ac:dyDescent="0.3">
      <c r="E602" s="41"/>
      <c r="F602" s="41"/>
      <c r="G602" s="41"/>
      <c r="H602" s="41"/>
      <c r="I602" s="41"/>
      <c r="J602" s="41"/>
      <c r="K602" s="41"/>
      <c r="L602" s="41"/>
    </row>
    <row r="603" spans="5:12" s="39" customFormat="1" x14ac:dyDescent="0.3">
      <c r="E603" s="41"/>
      <c r="F603" s="41"/>
      <c r="G603" s="41"/>
      <c r="H603" s="41"/>
      <c r="I603" s="41"/>
      <c r="J603" s="41"/>
      <c r="K603" s="41"/>
      <c r="L603" s="41"/>
    </row>
    <row r="604" spans="5:12" s="39" customFormat="1" x14ac:dyDescent="0.3">
      <c r="E604" s="41"/>
      <c r="F604" s="41"/>
      <c r="G604" s="41"/>
      <c r="H604" s="41"/>
      <c r="I604" s="41"/>
      <c r="J604" s="41"/>
      <c r="K604" s="41"/>
      <c r="L604" s="41"/>
    </row>
    <row r="605" spans="5:12" s="39" customFormat="1" x14ac:dyDescent="0.3">
      <c r="E605" s="41"/>
      <c r="F605" s="41"/>
      <c r="G605" s="41"/>
      <c r="H605" s="41"/>
      <c r="I605" s="41"/>
      <c r="J605" s="41"/>
      <c r="K605" s="41"/>
      <c r="L605" s="41"/>
    </row>
    <row r="606" spans="5:12" s="39" customFormat="1" x14ac:dyDescent="0.3">
      <c r="E606" s="41"/>
      <c r="F606" s="41"/>
      <c r="G606" s="41"/>
      <c r="H606" s="41"/>
      <c r="I606" s="41"/>
      <c r="J606" s="41"/>
      <c r="K606" s="41"/>
      <c r="L606" s="41"/>
    </row>
    <row r="607" spans="5:12" s="39" customFormat="1" x14ac:dyDescent="0.3">
      <c r="E607" s="41"/>
      <c r="F607" s="41"/>
      <c r="G607" s="41"/>
      <c r="H607" s="41"/>
      <c r="I607" s="41"/>
      <c r="J607" s="41"/>
      <c r="K607" s="41"/>
      <c r="L607" s="41"/>
    </row>
    <row r="608" spans="5:12" s="39" customFormat="1" x14ac:dyDescent="0.3">
      <c r="E608" s="41"/>
      <c r="F608" s="41"/>
      <c r="G608" s="41"/>
      <c r="H608" s="41"/>
      <c r="I608" s="41"/>
      <c r="J608" s="41"/>
      <c r="K608" s="41"/>
      <c r="L608" s="41"/>
    </row>
    <row r="609" spans="5:12" s="39" customFormat="1" x14ac:dyDescent="0.3">
      <c r="E609" s="41"/>
      <c r="F609" s="41"/>
      <c r="G609" s="41"/>
      <c r="H609" s="41"/>
      <c r="I609" s="41"/>
      <c r="J609" s="41"/>
      <c r="K609" s="41"/>
      <c r="L609" s="41"/>
    </row>
    <row r="610" spans="5:12" s="39" customFormat="1" x14ac:dyDescent="0.3">
      <c r="E610" s="41"/>
      <c r="F610" s="41"/>
      <c r="G610" s="41"/>
      <c r="H610" s="41"/>
      <c r="I610" s="41"/>
      <c r="J610" s="41"/>
      <c r="K610" s="41"/>
      <c r="L610" s="41"/>
    </row>
    <row r="611" spans="5:12" s="39" customFormat="1" x14ac:dyDescent="0.3">
      <c r="E611" s="41"/>
      <c r="F611" s="41"/>
      <c r="G611" s="41"/>
      <c r="H611" s="41"/>
      <c r="I611" s="41"/>
      <c r="J611" s="41"/>
      <c r="K611" s="41"/>
      <c r="L611" s="41"/>
    </row>
    <row r="612" spans="5:12" s="39" customFormat="1" x14ac:dyDescent="0.3">
      <c r="E612" s="41"/>
      <c r="F612" s="41"/>
      <c r="G612" s="41"/>
      <c r="H612" s="41"/>
      <c r="I612" s="41"/>
      <c r="J612" s="41"/>
      <c r="K612" s="41"/>
      <c r="L612" s="41"/>
    </row>
    <row r="613" spans="5:12" s="39" customFormat="1" x14ac:dyDescent="0.3">
      <c r="E613" s="41"/>
      <c r="F613" s="41"/>
      <c r="G613" s="41"/>
      <c r="H613" s="41"/>
      <c r="I613" s="41"/>
      <c r="J613" s="41"/>
      <c r="K613" s="41"/>
      <c r="L613" s="41"/>
    </row>
    <row r="614" spans="5:12" s="39" customFormat="1" x14ac:dyDescent="0.3">
      <c r="E614" s="41"/>
      <c r="F614" s="41"/>
      <c r="G614" s="41"/>
      <c r="H614" s="41"/>
      <c r="I614" s="41"/>
      <c r="J614" s="41"/>
      <c r="K614" s="41"/>
      <c r="L614" s="41"/>
    </row>
    <row r="615" spans="5:12" s="39" customFormat="1" x14ac:dyDescent="0.3">
      <c r="E615" s="41"/>
      <c r="F615" s="41"/>
      <c r="G615" s="41"/>
      <c r="H615" s="41"/>
      <c r="I615" s="41"/>
      <c r="J615" s="41"/>
      <c r="K615" s="41"/>
      <c r="L615" s="41"/>
    </row>
    <row r="616" spans="5:12" s="39" customFormat="1" x14ac:dyDescent="0.3">
      <c r="E616" s="41"/>
      <c r="F616" s="41"/>
      <c r="G616" s="41"/>
      <c r="H616" s="41"/>
      <c r="I616" s="41"/>
      <c r="J616" s="41"/>
      <c r="K616" s="41"/>
      <c r="L616" s="41"/>
    </row>
    <row r="617" spans="5:12" s="39" customFormat="1" x14ac:dyDescent="0.3">
      <c r="E617" s="41"/>
      <c r="F617" s="41"/>
      <c r="G617" s="41"/>
      <c r="H617" s="41"/>
      <c r="I617" s="41"/>
      <c r="J617" s="41"/>
      <c r="K617" s="41"/>
      <c r="L617" s="41"/>
    </row>
    <row r="618" spans="5:12" s="39" customFormat="1" x14ac:dyDescent="0.3">
      <c r="E618" s="41"/>
      <c r="F618" s="41"/>
      <c r="G618" s="41"/>
      <c r="H618" s="41"/>
      <c r="I618" s="41"/>
      <c r="J618" s="41"/>
      <c r="K618" s="41"/>
      <c r="L618" s="41"/>
    </row>
    <row r="619" spans="5:12" s="39" customFormat="1" x14ac:dyDescent="0.3">
      <c r="E619" s="41"/>
      <c r="F619" s="41"/>
      <c r="G619" s="41"/>
      <c r="H619" s="41"/>
      <c r="I619" s="41"/>
      <c r="J619" s="41"/>
      <c r="K619" s="41"/>
      <c r="L619" s="41"/>
    </row>
    <row r="620" spans="5:12" s="39" customFormat="1" x14ac:dyDescent="0.3">
      <c r="E620" s="41"/>
      <c r="F620" s="41"/>
      <c r="G620" s="41"/>
      <c r="H620" s="41"/>
      <c r="I620" s="41"/>
      <c r="J620" s="41"/>
      <c r="K620" s="41"/>
      <c r="L620" s="41"/>
    </row>
    <row r="621" spans="5:12" s="39" customFormat="1" x14ac:dyDescent="0.3">
      <c r="E621" s="41"/>
      <c r="F621" s="41"/>
      <c r="G621" s="41"/>
      <c r="H621" s="41"/>
      <c r="I621" s="41"/>
      <c r="J621" s="41"/>
      <c r="K621" s="41"/>
      <c r="L621" s="41"/>
    </row>
    <row r="622" spans="5:12" s="39" customFormat="1" x14ac:dyDescent="0.3">
      <c r="E622" s="41"/>
      <c r="F622" s="41"/>
      <c r="G622" s="41"/>
      <c r="H622" s="41"/>
      <c r="I622" s="41"/>
      <c r="J622" s="41"/>
      <c r="K622" s="41"/>
      <c r="L622" s="41"/>
    </row>
    <row r="623" spans="5:12" s="39" customFormat="1" x14ac:dyDescent="0.3">
      <c r="E623" s="41"/>
      <c r="F623" s="41"/>
      <c r="G623" s="41"/>
      <c r="H623" s="41"/>
      <c r="I623" s="41"/>
      <c r="J623" s="41"/>
      <c r="K623" s="41"/>
      <c r="L623" s="41"/>
    </row>
    <row r="624" spans="5:12" s="39" customFormat="1" x14ac:dyDescent="0.3">
      <c r="E624" s="41"/>
      <c r="F624" s="41"/>
      <c r="G624" s="41"/>
      <c r="H624" s="41"/>
      <c r="I624" s="41"/>
      <c r="J624" s="41"/>
      <c r="K624" s="41"/>
      <c r="L624" s="41"/>
    </row>
    <row r="625" spans="5:12" s="39" customFormat="1" x14ac:dyDescent="0.3">
      <c r="E625" s="41"/>
      <c r="F625" s="41"/>
      <c r="G625" s="41"/>
      <c r="H625" s="41"/>
      <c r="I625" s="41"/>
      <c r="J625" s="41"/>
      <c r="K625" s="41"/>
      <c r="L625" s="41"/>
    </row>
    <row r="626" spans="5:12" s="39" customFormat="1" x14ac:dyDescent="0.3">
      <c r="E626" s="41"/>
      <c r="F626" s="41"/>
      <c r="G626" s="41"/>
      <c r="H626" s="41"/>
      <c r="I626" s="41"/>
      <c r="J626" s="41"/>
      <c r="K626" s="41"/>
      <c r="L626" s="41"/>
    </row>
    <row r="627" spans="5:12" s="39" customFormat="1" x14ac:dyDescent="0.3">
      <c r="E627" s="41"/>
      <c r="F627" s="41"/>
      <c r="G627" s="41"/>
      <c r="H627" s="41"/>
      <c r="I627" s="41"/>
      <c r="J627" s="41"/>
      <c r="K627" s="41"/>
      <c r="L627" s="41"/>
    </row>
    <row r="628" spans="5:12" s="39" customFormat="1" x14ac:dyDescent="0.3">
      <c r="E628" s="41"/>
      <c r="F628" s="41"/>
      <c r="G628" s="41"/>
      <c r="H628" s="41"/>
      <c r="I628" s="41"/>
      <c r="J628" s="41"/>
      <c r="K628" s="41"/>
      <c r="L628" s="41"/>
    </row>
    <row r="629" spans="5:12" s="39" customFormat="1" x14ac:dyDescent="0.3">
      <c r="E629" s="41"/>
      <c r="F629" s="41"/>
      <c r="G629" s="41"/>
      <c r="H629" s="41"/>
      <c r="I629" s="41"/>
      <c r="J629" s="41"/>
      <c r="K629" s="41"/>
      <c r="L629" s="41"/>
    </row>
    <row r="630" spans="5:12" s="39" customFormat="1" x14ac:dyDescent="0.3">
      <c r="E630" s="41"/>
      <c r="F630" s="41"/>
      <c r="G630" s="41"/>
      <c r="H630" s="41"/>
      <c r="I630" s="41"/>
      <c r="J630" s="41"/>
      <c r="K630" s="41"/>
      <c r="L630" s="41"/>
    </row>
    <row r="631" spans="5:12" s="39" customFormat="1" x14ac:dyDescent="0.3">
      <c r="E631" s="41"/>
      <c r="F631" s="41"/>
      <c r="G631" s="41"/>
      <c r="H631" s="41"/>
      <c r="I631" s="41"/>
      <c r="J631" s="41"/>
      <c r="K631" s="41"/>
      <c r="L631" s="41"/>
    </row>
    <row r="632" spans="5:12" s="39" customFormat="1" x14ac:dyDescent="0.3">
      <c r="E632" s="41"/>
      <c r="F632" s="41"/>
      <c r="G632" s="41"/>
      <c r="H632" s="41"/>
      <c r="I632" s="41"/>
      <c r="J632" s="41"/>
      <c r="K632" s="41"/>
      <c r="L632" s="41"/>
    </row>
    <row r="633" spans="5:12" s="39" customFormat="1" x14ac:dyDescent="0.3">
      <c r="E633" s="41"/>
      <c r="F633" s="41"/>
      <c r="G633" s="41"/>
      <c r="H633" s="41"/>
      <c r="I633" s="41"/>
      <c r="J633" s="41"/>
      <c r="K633" s="41"/>
      <c r="L633" s="41"/>
    </row>
    <row r="634" spans="5:12" s="39" customFormat="1" x14ac:dyDescent="0.3">
      <c r="E634" s="41"/>
      <c r="F634" s="41"/>
      <c r="G634" s="41"/>
      <c r="H634" s="41"/>
      <c r="I634" s="41"/>
      <c r="J634" s="41"/>
      <c r="K634" s="41"/>
      <c r="L634" s="41"/>
    </row>
    <row r="635" spans="5:12" s="39" customFormat="1" x14ac:dyDescent="0.3">
      <c r="E635" s="41"/>
      <c r="F635" s="41"/>
      <c r="G635" s="41"/>
      <c r="H635" s="41"/>
      <c r="I635" s="41"/>
      <c r="J635" s="41"/>
      <c r="K635" s="41"/>
      <c r="L635" s="41"/>
    </row>
    <row r="636" spans="5:12" s="39" customFormat="1" x14ac:dyDescent="0.3">
      <c r="E636" s="41"/>
      <c r="F636" s="41"/>
      <c r="G636" s="41"/>
      <c r="H636" s="41"/>
      <c r="I636" s="41"/>
      <c r="J636" s="41"/>
      <c r="K636" s="41"/>
      <c r="L636" s="41"/>
    </row>
    <row r="637" spans="5:12" s="39" customFormat="1" x14ac:dyDescent="0.3">
      <c r="E637" s="41"/>
      <c r="F637" s="41"/>
      <c r="G637" s="41"/>
      <c r="H637" s="41"/>
      <c r="I637" s="41"/>
      <c r="J637" s="41"/>
      <c r="K637" s="41"/>
      <c r="L637" s="41"/>
    </row>
    <row r="638" spans="5:12" s="39" customFormat="1" x14ac:dyDescent="0.3">
      <c r="E638" s="41"/>
      <c r="F638" s="41"/>
      <c r="G638" s="41"/>
      <c r="H638" s="41"/>
      <c r="I638" s="41"/>
      <c r="J638" s="41"/>
      <c r="K638" s="41"/>
      <c r="L638" s="41"/>
    </row>
    <row r="639" spans="5:12" s="39" customFormat="1" x14ac:dyDescent="0.3">
      <c r="E639" s="41"/>
      <c r="F639" s="41"/>
      <c r="G639" s="41"/>
      <c r="H639" s="41"/>
      <c r="I639" s="41"/>
      <c r="J639" s="41"/>
      <c r="K639" s="41"/>
      <c r="L639" s="41"/>
    </row>
    <row r="640" spans="5:12" s="39" customFormat="1" x14ac:dyDescent="0.3">
      <c r="E640" s="41"/>
      <c r="F640" s="41"/>
      <c r="G640" s="41"/>
      <c r="H640" s="41"/>
      <c r="I640" s="41"/>
      <c r="J640" s="41"/>
      <c r="K640" s="41"/>
      <c r="L640" s="41"/>
    </row>
    <row r="641" spans="5:12" s="39" customFormat="1" x14ac:dyDescent="0.3">
      <c r="E641" s="41"/>
      <c r="F641" s="41"/>
      <c r="G641" s="41"/>
      <c r="H641" s="41"/>
      <c r="I641" s="41"/>
      <c r="J641" s="41"/>
      <c r="K641" s="41"/>
      <c r="L641" s="41"/>
    </row>
    <row r="642" spans="5:12" s="39" customFormat="1" x14ac:dyDescent="0.3">
      <c r="E642" s="41"/>
      <c r="F642" s="41"/>
      <c r="G642" s="41"/>
      <c r="H642" s="41"/>
      <c r="I642" s="41"/>
      <c r="J642" s="41"/>
      <c r="K642" s="41"/>
      <c r="L642" s="41"/>
    </row>
    <row r="643" spans="5:12" s="39" customFormat="1" x14ac:dyDescent="0.3">
      <c r="E643" s="41"/>
      <c r="F643" s="41"/>
      <c r="G643" s="41"/>
      <c r="H643" s="41"/>
      <c r="I643" s="41"/>
      <c r="J643" s="41"/>
      <c r="K643" s="41"/>
      <c r="L643" s="41"/>
    </row>
    <row r="644" spans="5:12" s="39" customFormat="1" x14ac:dyDescent="0.3">
      <c r="E644" s="41"/>
      <c r="F644" s="41"/>
      <c r="G644" s="41"/>
      <c r="H644" s="41"/>
      <c r="I644" s="41"/>
      <c r="J644" s="41"/>
      <c r="K644" s="41"/>
      <c r="L644" s="41"/>
    </row>
    <row r="645" spans="5:12" s="39" customFormat="1" x14ac:dyDescent="0.3">
      <c r="E645" s="41"/>
      <c r="F645" s="41"/>
      <c r="G645" s="41"/>
      <c r="H645" s="41"/>
      <c r="I645" s="41"/>
      <c r="J645" s="41"/>
      <c r="K645" s="41"/>
      <c r="L645" s="41"/>
    </row>
    <row r="646" spans="5:12" s="39" customFormat="1" x14ac:dyDescent="0.3">
      <c r="E646" s="41"/>
      <c r="F646" s="41"/>
      <c r="G646" s="41"/>
      <c r="H646" s="41"/>
      <c r="I646" s="41"/>
      <c r="J646" s="41"/>
      <c r="K646" s="41"/>
      <c r="L646" s="41"/>
    </row>
    <row r="647" spans="5:12" s="39" customFormat="1" x14ac:dyDescent="0.3">
      <c r="E647" s="41"/>
      <c r="F647" s="41"/>
      <c r="G647" s="41"/>
      <c r="H647" s="41"/>
      <c r="I647" s="41"/>
      <c r="J647" s="41"/>
      <c r="K647" s="41"/>
      <c r="L647" s="41"/>
    </row>
    <row r="648" spans="5:12" s="39" customFormat="1" x14ac:dyDescent="0.3">
      <c r="E648" s="41"/>
      <c r="F648" s="41"/>
      <c r="G648" s="41"/>
      <c r="H648" s="41"/>
      <c r="I648" s="41"/>
      <c r="J648" s="41"/>
      <c r="K648" s="41"/>
      <c r="L648" s="41"/>
    </row>
    <row r="649" spans="5:12" s="39" customFormat="1" x14ac:dyDescent="0.3">
      <c r="E649" s="41"/>
      <c r="F649" s="41"/>
      <c r="G649" s="41"/>
      <c r="H649" s="41"/>
      <c r="I649" s="41"/>
      <c r="J649" s="41"/>
      <c r="K649" s="41"/>
      <c r="L649" s="41"/>
    </row>
    <row r="650" spans="5:12" s="39" customFormat="1" x14ac:dyDescent="0.3">
      <c r="E650" s="41"/>
      <c r="F650" s="41"/>
      <c r="G650" s="41"/>
      <c r="H650" s="41"/>
      <c r="I650" s="41"/>
      <c r="J650" s="41"/>
      <c r="K650" s="41"/>
      <c r="L650" s="41"/>
    </row>
    <row r="651" spans="5:12" s="39" customFormat="1" x14ac:dyDescent="0.3">
      <c r="E651" s="41"/>
      <c r="F651" s="41"/>
      <c r="G651" s="41"/>
      <c r="H651" s="41"/>
      <c r="I651" s="41"/>
      <c r="J651" s="41"/>
      <c r="K651" s="41"/>
      <c r="L651" s="41"/>
    </row>
    <row r="652" spans="5:12" s="39" customFormat="1" x14ac:dyDescent="0.3">
      <c r="E652" s="41"/>
      <c r="F652" s="41"/>
      <c r="G652" s="41"/>
      <c r="H652" s="41"/>
      <c r="I652" s="41"/>
      <c r="J652" s="41"/>
      <c r="K652" s="41"/>
      <c r="L652" s="41"/>
    </row>
    <row r="653" spans="5:12" s="39" customFormat="1" x14ac:dyDescent="0.3">
      <c r="E653" s="41"/>
      <c r="F653" s="41"/>
      <c r="G653" s="41"/>
      <c r="H653" s="41"/>
      <c r="I653" s="41"/>
      <c r="J653" s="41"/>
      <c r="K653" s="41"/>
      <c r="L653" s="41"/>
    </row>
    <row r="654" spans="5:12" s="39" customFormat="1" x14ac:dyDescent="0.3">
      <c r="E654" s="41"/>
      <c r="F654" s="41"/>
      <c r="G654" s="41"/>
      <c r="H654" s="41"/>
      <c r="I654" s="41"/>
      <c r="J654" s="41"/>
      <c r="K654" s="41"/>
      <c r="L654" s="41"/>
    </row>
    <row r="655" spans="5:12" s="39" customFormat="1" x14ac:dyDescent="0.3">
      <c r="E655" s="41"/>
      <c r="F655" s="41"/>
      <c r="G655" s="41"/>
      <c r="H655" s="41"/>
      <c r="I655" s="41"/>
      <c r="J655" s="41"/>
      <c r="K655" s="41"/>
      <c r="L655" s="41"/>
    </row>
    <row r="656" spans="5:12" s="39" customFormat="1" x14ac:dyDescent="0.3">
      <c r="E656" s="41"/>
      <c r="F656" s="41"/>
      <c r="G656" s="41"/>
      <c r="H656" s="41"/>
      <c r="I656" s="41"/>
      <c r="J656" s="41"/>
      <c r="K656" s="41"/>
      <c r="L656" s="41"/>
    </row>
    <row r="657" spans="5:12" s="39" customFormat="1" x14ac:dyDescent="0.3">
      <c r="E657" s="41"/>
      <c r="F657" s="41"/>
      <c r="G657" s="41"/>
      <c r="H657" s="41"/>
      <c r="I657" s="41"/>
      <c r="J657" s="41"/>
      <c r="K657" s="41"/>
      <c r="L657" s="41"/>
    </row>
    <row r="658" spans="5:12" s="39" customFormat="1" x14ac:dyDescent="0.3">
      <c r="E658" s="41"/>
      <c r="F658" s="41"/>
      <c r="G658" s="41"/>
      <c r="H658" s="41"/>
      <c r="I658" s="41"/>
      <c r="J658" s="41"/>
      <c r="K658" s="41"/>
      <c r="L658" s="41"/>
    </row>
    <row r="659" spans="5:12" s="39" customFormat="1" x14ac:dyDescent="0.3">
      <c r="E659" s="41"/>
      <c r="F659" s="41"/>
      <c r="G659" s="41"/>
      <c r="H659" s="41"/>
      <c r="I659" s="41"/>
      <c r="J659" s="41"/>
      <c r="K659" s="41"/>
      <c r="L659" s="41"/>
    </row>
    <row r="660" spans="5:12" s="39" customFormat="1" x14ac:dyDescent="0.3">
      <c r="E660" s="41"/>
      <c r="F660" s="41"/>
      <c r="G660" s="41"/>
      <c r="H660" s="41"/>
      <c r="I660" s="41"/>
      <c r="J660" s="41"/>
      <c r="K660" s="41"/>
      <c r="L660" s="41"/>
    </row>
    <row r="661" spans="5:12" s="39" customFormat="1" x14ac:dyDescent="0.3">
      <c r="E661" s="41"/>
      <c r="F661" s="41"/>
      <c r="G661" s="41"/>
      <c r="H661" s="41"/>
      <c r="I661" s="41"/>
      <c r="J661" s="41"/>
      <c r="K661" s="41"/>
      <c r="L661" s="41"/>
    </row>
    <row r="662" spans="5:12" s="39" customFormat="1" x14ac:dyDescent="0.3">
      <c r="E662" s="41"/>
      <c r="F662" s="41"/>
      <c r="G662" s="41"/>
      <c r="H662" s="41"/>
      <c r="I662" s="41"/>
      <c r="J662" s="41"/>
      <c r="K662" s="41"/>
      <c r="L662" s="41"/>
    </row>
    <row r="663" spans="5:12" s="39" customFormat="1" x14ac:dyDescent="0.3">
      <c r="E663" s="41"/>
      <c r="F663" s="41"/>
      <c r="G663" s="41"/>
      <c r="H663" s="41"/>
      <c r="I663" s="41"/>
      <c r="J663" s="41"/>
      <c r="K663" s="41"/>
      <c r="L663" s="41"/>
    </row>
    <row r="664" spans="5:12" s="39" customFormat="1" x14ac:dyDescent="0.3">
      <c r="E664" s="41"/>
      <c r="F664" s="41"/>
      <c r="G664" s="41"/>
      <c r="H664" s="41"/>
      <c r="I664" s="41"/>
      <c r="J664" s="41"/>
      <c r="K664" s="41"/>
      <c r="L664" s="41"/>
    </row>
    <row r="665" spans="5:12" s="39" customFormat="1" x14ac:dyDescent="0.3">
      <c r="E665" s="41"/>
      <c r="F665" s="41"/>
      <c r="G665" s="41"/>
      <c r="H665" s="41"/>
      <c r="I665" s="41"/>
      <c r="J665" s="41"/>
      <c r="K665" s="41"/>
      <c r="L665" s="41"/>
    </row>
    <row r="666" spans="5:12" s="39" customFormat="1" x14ac:dyDescent="0.3">
      <c r="E666" s="41"/>
      <c r="F666" s="41"/>
      <c r="G666" s="41"/>
      <c r="H666" s="41"/>
      <c r="I666" s="41"/>
      <c r="J666" s="41"/>
      <c r="K666" s="41"/>
      <c r="L666" s="41"/>
    </row>
    <row r="667" spans="5:12" s="39" customFormat="1" x14ac:dyDescent="0.3">
      <c r="E667" s="41"/>
      <c r="F667" s="41"/>
      <c r="G667" s="41"/>
      <c r="H667" s="41"/>
      <c r="I667" s="41"/>
      <c r="J667" s="41"/>
      <c r="K667" s="41"/>
      <c r="L667" s="41"/>
    </row>
    <row r="668" spans="5:12" s="39" customFormat="1" x14ac:dyDescent="0.3">
      <c r="E668" s="41"/>
      <c r="F668" s="41"/>
      <c r="G668" s="41"/>
      <c r="H668" s="41"/>
      <c r="I668" s="41"/>
      <c r="J668" s="41"/>
      <c r="K668" s="41"/>
      <c r="L668" s="41"/>
    </row>
    <row r="669" spans="5:12" s="39" customFormat="1" x14ac:dyDescent="0.3">
      <c r="E669" s="41"/>
      <c r="F669" s="41"/>
      <c r="G669" s="41"/>
      <c r="H669" s="41"/>
      <c r="I669" s="41"/>
      <c r="J669" s="41"/>
      <c r="K669" s="41"/>
      <c r="L669" s="41"/>
    </row>
    <row r="670" spans="5:12" s="39" customFormat="1" x14ac:dyDescent="0.3">
      <c r="E670" s="41"/>
      <c r="F670" s="41"/>
      <c r="G670" s="41"/>
      <c r="H670" s="41"/>
      <c r="I670" s="41"/>
      <c r="J670" s="41"/>
      <c r="K670" s="41"/>
      <c r="L670" s="41"/>
    </row>
    <row r="671" spans="5:12" s="39" customFormat="1" x14ac:dyDescent="0.3">
      <c r="E671" s="41"/>
      <c r="F671" s="41"/>
      <c r="G671" s="41"/>
      <c r="H671" s="41"/>
      <c r="I671" s="41"/>
      <c r="J671" s="41"/>
      <c r="K671" s="41"/>
      <c r="L671" s="41"/>
    </row>
    <row r="672" spans="5:12" s="39" customFormat="1" x14ac:dyDescent="0.3">
      <c r="E672" s="41"/>
      <c r="F672" s="41"/>
      <c r="G672" s="41"/>
      <c r="H672" s="41"/>
      <c r="I672" s="41"/>
      <c r="J672" s="41"/>
      <c r="K672" s="41"/>
      <c r="L672" s="41"/>
    </row>
    <row r="673" spans="5:12" s="39" customFormat="1" x14ac:dyDescent="0.3">
      <c r="E673" s="41"/>
      <c r="F673" s="41"/>
      <c r="G673" s="41"/>
      <c r="H673" s="41"/>
      <c r="I673" s="41"/>
      <c r="J673" s="41"/>
      <c r="K673" s="41"/>
      <c r="L673" s="41"/>
    </row>
    <row r="674" spans="5:12" s="39" customFormat="1" x14ac:dyDescent="0.3">
      <c r="E674" s="41"/>
      <c r="F674" s="41"/>
      <c r="G674" s="41"/>
      <c r="H674" s="41"/>
      <c r="I674" s="41"/>
      <c r="J674" s="41"/>
      <c r="K674" s="41"/>
      <c r="L674" s="41"/>
    </row>
    <row r="675" spans="5:12" s="39" customFormat="1" x14ac:dyDescent="0.3">
      <c r="E675" s="41"/>
      <c r="F675" s="41"/>
      <c r="G675" s="41"/>
      <c r="H675" s="41"/>
      <c r="I675" s="41"/>
      <c r="J675" s="41"/>
      <c r="K675" s="41"/>
      <c r="L675" s="41"/>
    </row>
    <row r="676" spans="5:12" s="39" customFormat="1" x14ac:dyDescent="0.3">
      <c r="E676" s="41"/>
      <c r="F676" s="41"/>
      <c r="G676" s="41"/>
      <c r="H676" s="41"/>
      <c r="I676" s="41"/>
      <c r="J676" s="41"/>
      <c r="K676" s="41"/>
      <c r="L676" s="41"/>
    </row>
    <row r="677" spans="5:12" s="39" customFormat="1" x14ac:dyDescent="0.3">
      <c r="E677" s="41"/>
      <c r="F677" s="41"/>
      <c r="G677" s="41"/>
      <c r="H677" s="41"/>
      <c r="I677" s="41"/>
      <c r="J677" s="41"/>
      <c r="K677" s="41"/>
      <c r="L677" s="41"/>
    </row>
    <row r="678" spans="5:12" s="39" customFormat="1" x14ac:dyDescent="0.3">
      <c r="E678" s="41"/>
      <c r="F678" s="41"/>
      <c r="G678" s="41"/>
      <c r="H678" s="41"/>
      <c r="I678" s="41"/>
      <c r="J678" s="41"/>
      <c r="K678" s="41"/>
      <c r="L678" s="41"/>
    </row>
    <row r="679" spans="5:12" s="39" customFormat="1" x14ac:dyDescent="0.3">
      <c r="E679" s="41"/>
      <c r="F679" s="41"/>
      <c r="G679" s="41"/>
      <c r="H679" s="41"/>
      <c r="I679" s="41"/>
      <c r="J679" s="41"/>
      <c r="K679" s="41"/>
      <c r="L679" s="41"/>
    </row>
    <row r="680" spans="5:12" s="39" customFormat="1" x14ac:dyDescent="0.3">
      <c r="E680" s="41"/>
      <c r="F680" s="41"/>
      <c r="G680" s="41"/>
      <c r="H680" s="41"/>
      <c r="I680" s="41"/>
      <c r="J680" s="41"/>
      <c r="K680" s="41"/>
      <c r="L680" s="41"/>
    </row>
    <row r="681" spans="5:12" s="39" customFormat="1" x14ac:dyDescent="0.3">
      <c r="E681" s="41"/>
      <c r="F681" s="41"/>
      <c r="G681" s="41"/>
      <c r="H681" s="41"/>
      <c r="I681" s="41"/>
      <c r="J681" s="41"/>
      <c r="K681" s="41"/>
      <c r="L681" s="41"/>
    </row>
    <row r="682" spans="5:12" s="39" customFormat="1" x14ac:dyDescent="0.3">
      <c r="E682" s="41"/>
      <c r="F682" s="41"/>
      <c r="G682" s="41"/>
      <c r="H682" s="41"/>
      <c r="I682" s="41"/>
      <c r="J682" s="41"/>
      <c r="K682" s="41"/>
      <c r="L682" s="41"/>
    </row>
    <row r="683" spans="5:12" s="39" customFormat="1" x14ac:dyDescent="0.3">
      <c r="E683" s="41"/>
      <c r="F683" s="41"/>
      <c r="G683" s="41"/>
      <c r="H683" s="41"/>
      <c r="I683" s="41"/>
      <c r="J683" s="41"/>
      <c r="K683" s="41"/>
      <c r="L683" s="41"/>
    </row>
    <row r="684" spans="5:12" s="39" customFormat="1" x14ac:dyDescent="0.3">
      <c r="E684" s="41"/>
      <c r="F684" s="41"/>
      <c r="G684" s="41"/>
      <c r="H684" s="41"/>
      <c r="I684" s="41"/>
      <c r="J684" s="41"/>
      <c r="K684" s="41"/>
      <c r="L684" s="41"/>
    </row>
    <row r="685" spans="5:12" s="39" customFormat="1" x14ac:dyDescent="0.3">
      <c r="E685" s="41"/>
      <c r="F685" s="41"/>
      <c r="G685" s="41"/>
      <c r="H685" s="41"/>
      <c r="I685" s="41"/>
      <c r="J685" s="41"/>
      <c r="K685" s="41"/>
      <c r="L685" s="41"/>
    </row>
    <row r="686" spans="5:12" s="39" customFormat="1" x14ac:dyDescent="0.3">
      <c r="E686" s="41"/>
      <c r="F686" s="41"/>
      <c r="G686" s="41"/>
      <c r="H686" s="41"/>
      <c r="I686" s="41"/>
      <c r="J686" s="41"/>
      <c r="K686" s="41"/>
      <c r="L686" s="41"/>
    </row>
    <row r="687" spans="5:12" s="39" customFormat="1" x14ac:dyDescent="0.3">
      <c r="E687" s="41"/>
      <c r="F687" s="41"/>
      <c r="G687" s="41"/>
      <c r="H687" s="41"/>
      <c r="I687" s="41"/>
      <c r="J687" s="41"/>
      <c r="K687" s="41"/>
      <c r="L687" s="41"/>
    </row>
    <row r="688" spans="5:12" s="39" customFormat="1" x14ac:dyDescent="0.3">
      <c r="E688" s="41"/>
      <c r="F688" s="41"/>
      <c r="G688" s="41"/>
      <c r="H688" s="41"/>
      <c r="I688" s="41"/>
      <c r="J688" s="41"/>
      <c r="K688" s="41"/>
      <c r="L688" s="41"/>
    </row>
    <row r="689" spans="5:12" s="39" customFormat="1" x14ac:dyDescent="0.3">
      <c r="E689" s="41"/>
      <c r="F689" s="41"/>
      <c r="G689" s="41"/>
      <c r="H689" s="41"/>
      <c r="I689" s="41"/>
      <c r="J689" s="41"/>
      <c r="K689" s="41"/>
      <c r="L689" s="41"/>
    </row>
    <row r="690" spans="5:12" s="39" customFormat="1" x14ac:dyDescent="0.3">
      <c r="E690" s="41"/>
      <c r="F690" s="41"/>
      <c r="G690" s="41"/>
      <c r="H690" s="41"/>
      <c r="I690" s="41"/>
      <c r="J690" s="41"/>
      <c r="K690" s="41"/>
      <c r="L690" s="41"/>
    </row>
    <row r="691" spans="5:12" s="39" customFormat="1" x14ac:dyDescent="0.3">
      <c r="E691" s="41"/>
      <c r="F691" s="41"/>
      <c r="G691" s="41"/>
      <c r="H691" s="41"/>
      <c r="I691" s="41"/>
      <c r="J691" s="41"/>
      <c r="K691" s="41"/>
      <c r="L691" s="41"/>
    </row>
    <row r="692" spans="5:12" s="39" customFormat="1" x14ac:dyDescent="0.3">
      <c r="E692" s="41"/>
      <c r="F692" s="41"/>
      <c r="G692" s="41"/>
      <c r="H692" s="41"/>
      <c r="I692" s="41"/>
      <c r="J692" s="41"/>
      <c r="K692" s="41"/>
      <c r="L692" s="41"/>
    </row>
    <row r="693" spans="5:12" s="39" customFormat="1" x14ac:dyDescent="0.3">
      <c r="E693" s="41"/>
      <c r="F693" s="41"/>
      <c r="G693" s="41"/>
      <c r="H693" s="41"/>
      <c r="I693" s="41"/>
      <c r="J693" s="41"/>
      <c r="K693" s="41"/>
      <c r="L693" s="41"/>
    </row>
    <row r="694" spans="5:12" s="39" customFormat="1" x14ac:dyDescent="0.3">
      <c r="E694" s="41"/>
      <c r="F694" s="41"/>
      <c r="G694" s="41"/>
      <c r="H694" s="41"/>
      <c r="I694" s="41"/>
      <c r="J694" s="41"/>
      <c r="K694" s="41"/>
      <c r="L694" s="41"/>
    </row>
    <row r="695" spans="5:12" s="39" customFormat="1" x14ac:dyDescent="0.3">
      <c r="E695" s="41"/>
      <c r="F695" s="41"/>
      <c r="G695" s="41"/>
      <c r="H695" s="41"/>
      <c r="I695" s="41"/>
      <c r="J695" s="41"/>
      <c r="K695" s="41"/>
      <c r="L695" s="41"/>
    </row>
    <row r="696" spans="5:12" s="39" customFormat="1" x14ac:dyDescent="0.3">
      <c r="E696" s="41"/>
      <c r="F696" s="41"/>
      <c r="G696" s="41"/>
      <c r="H696" s="41"/>
      <c r="I696" s="41"/>
      <c r="J696" s="41"/>
      <c r="K696" s="41"/>
      <c r="L696" s="41"/>
    </row>
    <row r="697" spans="5:12" s="39" customFormat="1" x14ac:dyDescent="0.3">
      <c r="E697" s="41"/>
      <c r="F697" s="41"/>
      <c r="G697" s="41"/>
      <c r="H697" s="41"/>
      <c r="I697" s="41"/>
      <c r="J697" s="41"/>
      <c r="K697" s="41"/>
      <c r="L697" s="41"/>
    </row>
    <row r="698" spans="5:12" s="39" customFormat="1" x14ac:dyDescent="0.3">
      <c r="E698" s="41"/>
      <c r="F698" s="41"/>
      <c r="G698" s="41"/>
      <c r="H698" s="41"/>
      <c r="I698" s="41"/>
      <c r="J698" s="41"/>
      <c r="K698" s="41"/>
      <c r="L698" s="41"/>
    </row>
    <row r="699" spans="5:12" s="39" customFormat="1" x14ac:dyDescent="0.3">
      <c r="E699" s="41"/>
      <c r="F699" s="41"/>
      <c r="G699" s="41"/>
      <c r="H699" s="41"/>
      <c r="I699" s="41"/>
      <c r="J699" s="41"/>
      <c r="K699" s="41"/>
      <c r="L699" s="41"/>
    </row>
    <row r="700" spans="5:12" s="39" customFormat="1" x14ac:dyDescent="0.3">
      <c r="E700" s="41"/>
      <c r="F700" s="41"/>
      <c r="G700" s="41"/>
      <c r="H700" s="41"/>
      <c r="I700" s="41"/>
      <c r="J700" s="41"/>
      <c r="K700" s="41"/>
      <c r="L700" s="41"/>
    </row>
    <row r="701" spans="5:12" s="39" customFormat="1" x14ac:dyDescent="0.3">
      <c r="E701" s="41"/>
      <c r="F701" s="41"/>
      <c r="G701" s="41"/>
      <c r="H701" s="41"/>
      <c r="I701" s="41"/>
      <c r="J701" s="41"/>
      <c r="K701" s="41"/>
      <c r="L701" s="41"/>
    </row>
    <row r="702" spans="5:12" s="39" customFormat="1" x14ac:dyDescent="0.3">
      <c r="E702" s="41"/>
      <c r="F702" s="41"/>
      <c r="G702" s="41"/>
      <c r="H702" s="41"/>
      <c r="I702" s="41"/>
      <c r="J702" s="41"/>
      <c r="K702" s="41"/>
      <c r="L702" s="41"/>
    </row>
    <row r="703" spans="5:12" s="39" customFormat="1" x14ac:dyDescent="0.3">
      <c r="E703" s="41"/>
      <c r="F703" s="41"/>
      <c r="G703" s="41"/>
      <c r="H703" s="41"/>
      <c r="I703" s="41"/>
      <c r="J703" s="41"/>
      <c r="K703" s="41"/>
      <c r="L703" s="41"/>
    </row>
    <row r="704" spans="5:12" s="39" customFormat="1" x14ac:dyDescent="0.3">
      <c r="E704" s="41"/>
      <c r="F704" s="41"/>
      <c r="G704" s="41"/>
      <c r="H704" s="41"/>
      <c r="I704" s="41"/>
      <c r="J704" s="41"/>
      <c r="K704" s="41"/>
      <c r="L704" s="41"/>
    </row>
    <row r="705" spans="5:12" s="39" customFormat="1" x14ac:dyDescent="0.3">
      <c r="E705" s="41"/>
      <c r="F705" s="41"/>
      <c r="G705" s="41"/>
      <c r="H705" s="41"/>
      <c r="I705" s="41"/>
      <c r="J705" s="41"/>
      <c r="K705" s="41"/>
      <c r="L705" s="41"/>
    </row>
    <row r="706" spans="5:12" s="39" customFormat="1" x14ac:dyDescent="0.3">
      <c r="E706" s="41"/>
      <c r="F706" s="41"/>
      <c r="G706" s="41"/>
      <c r="H706" s="41"/>
      <c r="I706" s="41"/>
      <c r="J706" s="41"/>
      <c r="K706" s="41"/>
      <c r="L706" s="41"/>
    </row>
    <row r="707" spans="5:12" s="39" customFormat="1" x14ac:dyDescent="0.3">
      <c r="E707" s="41"/>
      <c r="F707" s="41"/>
      <c r="G707" s="41"/>
      <c r="H707" s="41"/>
      <c r="I707" s="41"/>
      <c r="J707" s="41"/>
      <c r="K707" s="41"/>
      <c r="L707" s="41"/>
    </row>
    <row r="708" spans="5:12" s="39" customFormat="1" x14ac:dyDescent="0.3">
      <c r="E708" s="41"/>
      <c r="F708" s="41"/>
      <c r="G708" s="41"/>
      <c r="H708" s="41"/>
      <c r="I708" s="41"/>
      <c r="J708" s="41"/>
      <c r="K708" s="41"/>
      <c r="L708" s="41"/>
    </row>
    <row r="709" spans="5:12" s="39" customFormat="1" x14ac:dyDescent="0.3">
      <c r="E709" s="41"/>
      <c r="F709" s="41"/>
      <c r="G709" s="41"/>
      <c r="H709" s="41"/>
      <c r="I709" s="41"/>
      <c r="J709" s="41"/>
      <c r="K709" s="41"/>
      <c r="L709" s="41"/>
    </row>
    <row r="710" spans="5:12" s="39" customFormat="1" x14ac:dyDescent="0.3">
      <c r="E710" s="41"/>
      <c r="F710" s="41"/>
      <c r="G710" s="41"/>
      <c r="H710" s="41"/>
      <c r="I710" s="41"/>
      <c r="J710" s="41"/>
      <c r="K710" s="41"/>
      <c r="L710" s="41"/>
    </row>
    <row r="711" spans="5:12" s="39" customFormat="1" x14ac:dyDescent="0.3">
      <c r="E711" s="41"/>
      <c r="F711" s="41"/>
      <c r="G711" s="41"/>
      <c r="H711" s="41"/>
      <c r="I711" s="41"/>
      <c r="J711" s="41"/>
      <c r="K711" s="41"/>
      <c r="L711" s="41"/>
    </row>
    <row r="712" spans="5:12" s="39" customFormat="1" x14ac:dyDescent="0.3">
      <c r="E712" s="41"/>
      <c r="F712" s="41"/>
      <c r="G712" s="41"/>
      <c r="H712" s="41"/>
      <c r="I712" s="41"/>
      <c r="J712" s="41"/>
      <c r="K712" s="41"/>
      <c r="L712" s="41"/>
    </row>
    <row r="713" spans="5:12" s="39" customFormat="1" x14ac:dyDescent="0.3">
      <c r="E713" s="41"/>
      <c r="F713" s="41"/>
      <c r="G713" s="41"/>
      <c r="H713" s="41"/>
      <c r="I713" s="41"/>
      <c r="J713" s="41"/>
      <c r="K713" s="41"/>
      <c r="L713" s="41"/>
    </row>
    <row r="714" spans="5:12" s="39" customFormat="1" x14ac:dyDescent="0.3">
      <c r="E714" s="41"/>
      <c r="F714" s="41"/>
      <c r="G714" s="41"/>
      <c r="H714" s="41"/>
      <c r="I714" s="41"/>
      <c r="J714" s="41"/>
      <c r="K714" s="41"/>
      <c r="L714" s="41"/>
    </row>
    <row r="715" spans="5:12" s="39" customFormat="1" x14ac:dyDescent="0.3">
      <c r="E715" s="41"/>
      <c r="F715" s="41"/>
      <c r="G715" s="41"/>
      <c r="H715" s="41"/>
      <c r="I715" s="41"/>
      <c r="J715" s="41"/>
      <c r="K715" s="41"/>
      <c r="L715" s="41"/>
    </row>
    <row r="716" spans="5:12" s="39" customFormat="1" x14ac:dyDescent="0.3">
      <c r="E716" s="41"/>
      <c r="F716" s="41"/>
      <c r="G716" s="41"/>
      <c r="H716" s="41"/>
      <c r="I716" s="41"/>
      <c r="J716" s="41"/>
      <c r="K716" s="41"/>
      <c r="L716" s="41"/>
    </row>
    <row r="717" spans="5:12" s="39" customFormat="1" x14ac:dyDescent="0.3">
      <c r="E717" s="41"/>
      <c r="F717" s="41"/>
      <c r="G717" s="41"/>
      <c r="H717" s="41"/>
      <c r="I717" s="41"/>
      <c r="J717" s="41"/>
      <c r="K717" s="41"/>
      <c r="L717" s="41"/>
    </row>
    <row r="718" spans="5:12" s="39" customFormat="1" x14ac:dyDescent="0.3">
      <c r="E718" s="41"/>
      <c r="F718" s="41"/>
      <c r="G718" s="41"/>
      <c r="H718" s="41"/>
      <c r="I718" s="41"/>
      <c r="J718" s="41"/>
      <c r="K718" s="41"/>
      <c r="L718" s="41"/>
    </row>
    <row r="719" spans="5:12" s="39" customFormat="1" x14ac:dyDescent="0.3">
      <c r="E719" s="41"/>
      <c r="F719" s="41"/>
      <c r="G719" s="41"/>
      <c r="H719" s="41"/>
      <c r="I719" s="41"/>
      <c r="J719" s="41"/>
      <c r="K719" s="41"/>
      <c r="L719" s="41"/>
    </row>
    <row r="720" spans="5:12" s="39" customFormat="1" x14ac:dyDescent="0.3">
      <c r="E720" s="41"/>
      <c r="F720" s="41"/>
      <c r="G720" s="41"/>
      <c r="H720" s="41"/>
      <c r="I720" s="41"/>
      <c r="J720" s="41"/>
      <c r="K720" s="41"/>
      <c r="L720" s="41"/>
    </row>
    <row r="721" spans="5:12" s="39" customFormat="1" x14ac:dyDescent="0.3">
      <c r="E721" s="41"/>
      <c r="F721" s="41"/>
      <c r="G721" s="41"/>
      <c r="H721" s="41"/>
      <c r="I721" s="41"/>
      <c r="J721" s="41"/>
      <c r="K721" s="41"/>
      <c r="L721" s="41"/>
    </row>
    <row r="722" spans="5:12" s="39" customFormat="1" x14ac:dyDescent="0.3">
      <c r="E722" s="41"/>
      <c r="F722" s="41"/>
      <c r="G722" s="41"/>
      <c r="H722" s="41"/>
      <c r="I722" s="41"/>
      <c r="J722" s="41"/>
      <c r="K722" s="41"/>
      <c r="L722" s="41"/>
    </row>
    <row r="723" spans="5:12" s="39" customFormat="1" x14ac:dyDescent="0.3">
      <c r="E723" s="41"/>
      <c r="F723" s="41"/>
      <c r="G723" s="41"/>
      <c r="H723" s="41"/>
      <c r="I723" s="41"/>
      <c r="J723" s="41"/>
      <c r="K723" s="41"/>
      <c r="L723" s="41"/>
    </row>
    <row r="724" spans="5:12" s="39" customFormat="1" x14ac:dyDescent="0.3">
      <c r="E724" s="41"/>
      <c r="F724" s="41"/>
      <c r="G724" s="41"/>
      <c r="H724" s="41"/>
      <c r="I724" s="41"/>
      <c r="J724" s="41"/>
      <c r="K724" s="41"/>
      <c r="L724" s="41"/>
    </row>
    <row r="725" spans="5:12" s="39" customFormat="1" x14ac:dyDescent="0.3">
      <c r="E725" s="41"/>
      <c r="F725" s="41"/>
      <c r="G725" s="41"/>
      <c r="H725" s="41"/>
      <c r="I725" s="41"/>
      <c r="J725" s="41"/>
      <c r="K725" s="41"/>
      <c r="L725" s="41"/>
    </row>
    <row r="726" spans="5:12" s="39" customFormat="1" x14ac:dyDescent="0.3">
      <c r="E726" s="41"/>
      <c r="F726" s="41"/>
      <c r="G726" s="41"/>
      <c r="H726" s="41"/>
      <c r="I726" s="41"/>
      <c r="J726" s="41"/>
      <c r="K726" s="41"/>
      <c r="L726" s="41"/>
    </row>
    <row r="727" spans="5:12" s="39" customFormat="1" x14ac:dyDescent="0.3">
      <c r="E727" s="41"/>
      <c r="F727" s="41"/>
      <c r="G727" s="41"/>
      <c r="H727" s="41"/>
      <c r="I727" s="41"/>
      <c r="J727" s="41"/>
      <c r="K727" s="41"/>
      <c r="L727" s="41"/>
    </row>
    <row r="728" spans="5:12" s="39" customFormat="1" x14ac:dyDescent="0.3">
      <c r="E728" s="41"/>
      <c r="F728" s="41"/>
      <c r="G728" s="41"/>
      <c r="H728" s="41"/>
      <c r="I728" s="41"/>
      <c r="J728" s="41"/>
      <c r="K728" s="41"/>
      <c r="L728" s="41"/>
    </row>
    <row r="729" spans="5:12" s="39" customFormat="1" x14ac:dyDescent="0.3">
      <c r="E729" s="41"/>
      <c r="F729" s="41"/>
      <c r="G729" s="41"/>
      <c r="H729" s="41"/>
      <c r="I729" s="41"/>
      <c r="J729" s="41"/>
      <c r="K729" s="41"/>
      <c r="L729" s="41"/>
    </row>
    <row r="730" spans="5:12" s="39" customFormat="1" x14ac:dyDescent="0.3">
      <c r="E730" s="41"/>
      <c r="F730" s="41"/>
      <c r="G730" s="41"/>
      <c r="H730" s="41"/>
      <c r="I730" s="41"/>
      <c r="J730" s="41"/>
      <c r="K730" s="41"/>
      <c r="L730" s="41"/>
    </row>
    <row r="731" spans="5:12" s="39" customFormat="1" x14ac:dyDescent="0.3">
      <c r="E731" s="41"/>
      <c r="F731" s="41"/>
      <c r="G731" s="41"/>
      <c r="H731" s="41"/>
      <c r="I731" s="41"/>
      <c r="J731" s="41"/>
      <c r="K731" s="41"/>
      <c r="L731" s="41"/>
    </row>
    <row r="732" spans="5:12" s="39" customFormat="1" x14ac:dyDescent="0.3">
      <c r="E732" s="41"/>
      <c r="F732" s="41"/>
      <c r="G732" s="41"/>
      <c r="H732" s="41"/>
      <c r="I732" s="41"/>
      <c r="J732" s="41"/>
      <c r="K732" s="41"/>
      <c r="L732" s="41"/>
    </row>
    <row r="733" spans="5:12" s="39" customFormat="1" x14ac:dyDescent="0.3">
      <c r="E733" s="41"/>
      <c r="F733" s="41"/>
      <c r="G733" s="41"/>
      <c r="H733" s="41"/>
      <c r="I733" s="41"/>
      <c r="J733" s="41"/>
      <c r="K733" s="41"/>
      <c r="L733" s="41"/>
    </row>
    <row r="734" spans="5:12" s="39" customFormat="1" x14ac:dyDescent="0.3">
      <c r="E734" s="41"/>
      <c r="F734" s="41"/>
      <c r="G734" s="41"/>
      <c r="H734" s="41"/>
      <c r="I734" s="41"/>
      <c r="J734" s="41"/>
      <c r="K734" s="41"/>
      <c r="L734" s="41"/>
    </row>
    <row r="735" spans="5:12" s="39" customFormat="1" x14ac:dyDescent="0.3">
      <c r="E735" s="41"/>
      <c r="F735" s="41"/>
      <c r="G735" s="41"/>
      <c r="H735" s="41"/>
      <c r="I735" s="41"/>
      <c r="J735" s="41"/>
      <c r="K735" s="41"/>
      <c r="L735" s="41"/>
    </row>
    <row r="736" spans="5:12" s="39" customFormat="1" x14ac:dyDescent="0.3">
      <c r="E736" s="41"/>
      <c r="F736" s="41"/>
      <c r="G736" s="41"/>
      <c r="H736" s="41"/>
      <c r="I736" s="41"/>
      <c r="J736" s="41"/>
      <c r="K736" s="41"/>
      <c r="L736" s="41"/>
    </row>
    <row r="737" spans="5:12" s="39" customFormat="1" x14ac:dyDescent="0.3">
      <c r="E737" s="41"/>
      <c r="F737" s="41"/>
      <c r="G737" s="41"/>
      <c r="H737" s="41"/>
      <c r="I737" s="41"/>
      <c r="J737" s="41"/>
      <c r="K737" s="41"/>
      <c r="L737" s="41"/>
    </row>
    <row r="738" spans="5:12" s="39" customFormat="1" x14ac:dyDescent="0.3">
      <c r="E738" s="41"/>
      <c r="F738" s="41"/>
      <c r="G738" s="41"/>
      <c r="H738" s="41"/>
      <c r="I738" s="41"/>
      <c r="J738" s="41"/>
      <c r="K738" s="41"/>
      <c r="L738" s="41"/>
    </row>
    <row r="739" spans="5:12" s="39" customFormat="1" x14ac:dyDescent="0.3">
      <c r="E739" s="41"/>
      <c r="F739" s="41"/>
      <c r="G739" s="41"/>
      <c r="H739" s="41"/>
      <c r="I739" s="41"/>
      <c r="J739" s="41"/>
      <c r="K739" s="41"/>
      <c r="L739" s="41"/>
    </row>
    <row r="740" spans="5:12" s="39" customFormat="1" x14ac:dyDescent="0.3">
      <c r="E740" s="41"/>
      <c r="F740" s="41"/>
      <c r="G740" s="41"/>
      <c r="H740" s="41"/>
      <c r="I740" s="41"/>
      <c r="J740" s="41"/>
      <c r="K740" s="41"/>
      <c r="L740" s="41"/>
    </row>
    <row r="741" spans="5:12" s="39" customFormat="1" x14ac:dyDescent="0.3">
      <c r="E741" s="41"/>
      <c r="F741" s="41"/>
      <c r="G741" s="41"/>
      <c r="H741" s="41"/>
      <c r="I741" s="41"/>
      <c r="J741" s="41"/>
      <c r="K741" s="41"/>
      <c r="L741" s="41"/>
    </row>
    <row r="742" spans="5:12" s="39" customFormat="1" x14ac:dyDescent="0.3">
      <c r="E742" s="41"/>
      <c r="F742" s="41"/>
      <c r="G742" s="41"/>
      <c r="H742" s="41"/>
      <c r="I742" s="41"/>
      <c r="J742" s="41"/>
      <c r="K742" s="41"/>
      <c r="L742" s="41"/>
    </row>
    <row r="743" spans="5:12" s="39" customFormat="1" x14ac:dyDescent="0.3">
      <c r="E743" s="41"/>
      <c r="F743" s="41"/>
      <c r="G743" s="41"/>
      <c r="H743" s="41"/>
      <c r="I743" s="41"/>
      <c r="J743" s="41"/>
      <c r="K743" s="41"/>
      <c r="L743" s="41"/>
    </row>
    <row r="744" spans="5:12" s="39" customFormat="1" x14ac:dyDescent="0.3">
      <c r="E744" s="41"/>
      <c r="F744" s="41"/>
      <c r="G744" s="41"/>
      <c r="H744" s="41"/>
      <c r="I744" s="41"/>
      <c r="J744" s="41"/>
      <c r="K744" s="41"/>
      <c r="L744" s="41"/>
    </row>
    <row r="745" spans="5:12" s="39" customFormat="1" x14ac:dyDescent="0.3">
      <c r="E745" s="41"/>
      <c r="F745" s="41"/>
      <c r="G745" s="41"/>
      <c r="H745" s="41"/>
      <c r="I745" s="41"/>
      <c r="J745" s="41"/>
      <c r="K745" s="41"/>
      <c r="L745" s="41"/>
    </row>
    <row r="746" spans="5:12" s="39" customFormat="1" x14ac:dyDescent="0.3">
      <c r="E746" s="41"/>
      <c r="F746" s="41"/>
      <c r="G746" s="41"/>
      <c r="H746" s="41"/>
      <c r="I746" s="41"/>
      <c r="J746" s="41"/>
      <c r="K746" s="41"/>
      <c r="L746" s="41"/>
    </row>
    <row r="747" spans="5:12" s="39" customFormat="1" x14ac:dyDescent="0.3">
      <c r="E747" s="41"/>
      <c r="F747" s="41"/>
      <c r="G747" s="41"/>
      <c r="H747" s="41"/>
      <c r="I747" s="41"/>
      <c r="J747" s="41"/>
      <c r="K747" s="41"/>
      <c r="L747" s="41"/>
    </row>
    <row r="748" spans="5:12" s="39" customFormat="1" x14ac:dyDescent="0.3">
      <c r="E748" s="41"/>
      <c r="F748" s="41"/>
      <c r="G748" s="41"/>
      <c r="H748" s="41"/>
      <c r="I748" s="41"/>
      <c r="J748" s="41"/>
      <c r="K748" s="41"/>
      <c r="L748" s="41"/>
    </row>
    <row r="749" spans="5:12" s="39" customFormat="1" x14ac:dyDescent="0.3">
      <c r="E749" s="41"/>
      <c r="F749" s="41"/>
      <c r="G749" s="41"/>
      <c r="H749" s="41"/>
      <c r="I749" s="41"/>
      <c r="J749" s="41"/>
      <c r="K749" s="41"/>
      <c r="L749" s="41"/>
    </row>
    <row r="750" spans="5:12" s="39" customFormat="1" x14ac:dyDescent="0.3">
      <c r="E750" s="41"/>
      <c r="F750" s="41"/>
      <c r="G750" s="41"/>
      <c r="H750" s="41"/>
      <c r="I750" s="41"/>
      <c r="J750" s="41"/>
      <c r="K750" s="41"/>
      <c r="L750" s="41"/>
    </row>
    <row r="751" spans="5:12" s="39" customFormat="1" x14ac:dyDescent="0.3">
      <c r="E751" s="41"/>
      <c r="F751" s="41"/>
      <c r="G751" s="41"/>
      <c r="H751" s="41"/>
      <c r="I751" s="41"/>
      <c r="J751" s="41"/>
      <c r="K751" s="41"/>
      <c r="L751" s="41"/>
    </row>
    <row r="752" spans="5:12" s="39" customFormat="1" x14ac:dyDescent="0.3">
      <c r="E752" s="41"/>
      <c r="F752" s="41"/>
      <c r="G752" s="41"/>
      <c r="H752" s="41"/>
      <c r="I752" s="41"/>
      <c r="J752" s="41"/>
      <c r="K752" s="41"/>
      <c r="L752" s="41"/>
    </row>
    <row r="753" spans="5:12" s="39" customFormat="1" x14ac:dyDescent="0.3">
      <c r="E753" s="41"/>
      <c r="F753" s="41"/>
      <c r="G753" s="41"/>
      <c r="H753" s="41"/>
      <c r="I753" s="41"/>
      <c r="J753" s="41"/>
      <c r="K753" s="41"/>
      <c r="L753" s="41"/>
    </row>
    <row r="754" spans="5:12" s="39" customFormat="1" x14ac:dyDescent="0.3">
      <c r="E754" s="41"/>
      <c r="F754" s="41"/>
      <c r="G754" s="41"/>
      <c r="H754" s="41"/>
      <c r="I754" s="41"/>
      <c r="J754" s="41"/>
      <c r="K754" s="41"/>
      <c r="L754" s="41"/>
    </row>
    <row r="755" spans="5:12" s="39" customFormat="1" x14ac:dyDescent="0.3">
      <c r="E755" s="41"/>
      <c r="F755" s="41"/>
      <c r="G755" s="41"/>
      <c r="H755" s="41"/>
      <c r="I755" s="41"/>
      <c r="J755" s="41"/>
      <c r="K755" s="41"/>
      <c r="L755" s="41"/>
    </row>
    <row r="756" spans="5:12" s="39" customFormat="1" x14ac:dyDescent="0.3">
      <c r="E756" s="41"/>
      <c r="F756" s="41"/>
      <c r="G756" s="41"/>
      <c r="H756" s="41"/>
      <c r="I756" s="41"/>
      <c r="J756" s="41"/>
      <c r="K756" s="41"/>
      <c r="L756" s="41"/>
    </row>
    <row r="757" spans="5:12" s="39" customFormat="1" x14ac:dyDescent="0.3">
      <c r="E757" s="41"/>
      <c r="F757" s="41"/>
      <c r="G757" s="41"/>
      <c r="H757" s="41"/>
      <c r="I757" s="41"/>
      <c r="J757" s="41"/>
      <c r="K757" s="41"/>
      <c r="L757" s="41"/>
    </row>
    <row r="758" spans="5:12" s="39" customFormat="1" x14ac:dyDescent="0.3">
      <c r="E758" s="41"/>
      <c r="F758" s="41"/>
      <c r="G758" s="41"/>
      <c r="H758" s="41"/>
      <c r="I758" s="41"/>
      <c r="J758" s="41"/>
      <c r="K758" s="41"/>
      <c r="L758" s="41"/>
    </row>
    <row r="759" spans="5:12" s="39" customFormat="1" x14ac:dyDescent="0.3">
      <c r="E759" s="41"/>
      <c r="F759" s="41"/>
      <c r="G759" s="41"/>
      <c r="H759" s="41"/>
      <c r="I759" s="41"/>
      <c r="J759" s="41"/>
      <c r="K759" s="41"/>
      <c r="L759" s="41"/>
    </row>
    <row r="760" spans="5:12" s="39" customFormat="1" x14ac:dyDescent="0.3">
      <c r="E760" s="41"/>
      <c r="F760" s="41"/>
      <c r="G760" s="41"/>
      <c r="H760" s="41"/>
      <c r="I760" s="41"/>
      <c r="J760" s="41"/>
      <c r="K760" s="41"/>
      <c r="L760" s="41"/>
    </row>
    <row r="761" spans="5:12" s="39" customFormat="1" x14ac:dyDescent="0.3">
      <c r="E761" s="41"/>
      <c r="F761" s="41"/>
      <c r="G761" s="41"/>
      <c r="H761" s="41"/>
      <c r="I761" s="41"/>
      <c r="J761" s="41"/>
      <c r="K761" s="41"/>
      <c r="L761" s="41"/>
    </row>
    <row r="762" spans="5:12" s="39" customFormat="1" x14ac:dyDescent="0.3">
      <c r="E762" s="41"/>
      <c r="F762" s="41"/>
      <c r="G762" s="41"/>
      <c r="H762" s="41"/>
      <c r="I762" s="41"/>
      <c r="J762" s="41"/>
      <c r="K762" s="41"/>
      <c r="L762" s="41"/>
    </row>
    <row r="763" spans="5:12" s="39" customFormat="1" x14ac:dyDescent="0.3">
      <c r="E763" s="41"/>
      <c r="F763" s="41"/>
      <c r="G763" s="41"/>
      <c r="H763" s="41"/>
      <c r="I763" s="41"/>
      <c r="J763" s="41"/>
      <c r="K763" s="41"/>
      <c r="L763" s="41"/>
    </row>
    <row r="764" spans="5:12" s="39" customFormat="1" x14ac:dyDescent="0.3">
      <c r="E764" s="41"/>
      <c r="F764" s="41"/>
      <c r="G764" s="41"/>
      <c r="H764" s="41"/>
      <c r="I764" s="41"/>
      <c r="J764" s="41"/>
      <c r="K764" s="41"/>
      <c r="L764" s="41"/>
    </row>
    <row r="765" spans="5:12" s="39" customFormat="1" x14ac:dyDescent="0.3">
      <c r="E765" s="41"/>
      <c r="F765" s="41"/>
      <c r="G765" s="41"/>
      <c r="H765" s="41"/>
      <c r="I765" s="41"/>
      <c r="J765" s="41"/>
      <c r="K765" s="41"/>
      <c r="L765" s="41"/>
    </row>
    <row r="766" spans="5:12" s="39" customFormat="1" x14ac:dyDescent="0.3">
      <c r="E766" s="41"/>
      <c r="F766" s="41"/>
      <c r="G766" s="41"/>
      <c r="H766" s="41"/>
      <c r="I766" s="41"/>
      <c r="J766" s="41"/>
      <c r="K766" s="41"/>
      <c r="L766" s="41"/>
    </row>
    <row r="767" spans="5:12" s="39" customFormat="1" x14ac:dyDescent="0.3">
      <c r="E767" s="41"/>
      <c r="F767" s="41"/>
      <c r="G767" s="41"/>
      <c r="H767" s="41"/>
      <c r="I767" s="41"/>
      <c r="J767" s="41"/>
      <c r="K767" s="41"/>
      <c r="L767" s="41"/>
    </row>
    <row r="768" spans="5:12" s="39" customFormat="1" x14ac:dyDescent="0.3">
      <c r="E768" s="41"/>
      <c r="F768" s="41"/>
      <c r="G768" s="41"/>
      <c r="H768" s="41"/>
      <c r="I768" s="41"/>
      <c r="J768" s="41"/>
      <c r="K768" s="41"/>
      <c r="L768" s="41"/>
    </row>
    <row r="769" spans="5:12" s="39" customFormat="1" x14ac:dyDescent="0.3">
      <c r="E769" s="41"/>
      <c r="F769" s="41"/>
      <c r="G769" s="41"/>
      <c r="H769" s="41"/>
      <c r="I769" s="41"/>
      <c r="J769" s="41"/>
      <c r="K769" s="41"/>
      <c r="L769" s="41"/>
    </row>
    <row r="770" spans="5:12" s="39" customFormat="1" x14ac:dyDescent="0.3">
      <c r="E770" s="41"/>
      <c r="F770" s="41"/>
      <c r="G770" s="41"/>
      <c r="H770" s="41"/>
      <c r="I770" s="41"/>
      <c r="J770" s="41"/>
      <c r="K770" s="41"/>
      <c r="L770" s="41"/>
    </row>
    <row r="771" spans="5:12" s="39" customFormat="1" x14ac:dyDescent="0.3">
      <c r="E771" s="41"/>
      <c r="F771" s="41"/>
      <c r="G771" s="41"/>
      <c r="H771" s="41"/>
      <c r="I771" s="41"/>
      <c r="J771" s="41"/>
      <c r="K771" s="41"/>
      <c r="L771" s="41"/>
    </row>
    <row r="772" spans="5:12" s="39" customFormat="1" x14ac:dyDescent="0.3">
      <c r="E772" s="41"/>
      <c r="F772" s="41"/>
      <c r="G772" s="41"/>
      <c r="H772" s="41"/>
      <c r="I772" s="41"/>
      <c r="J772" s="41"/>
      <c r="K772" s="41"/>
      <c r="L772" s="41"/>
    </row>
    <row r="773" spans="5:12" s="39" customFormat="1" x14ac:dyDescent="0.3">
      <c r="E773" s="41"/>
      <c r="F773" s="41"/>
      <c r="G773" s="41"/>
      <c r="H773" s="41"/>
      <c r="I773" s="41"/>
      <c r="J773" s="41"/>
      <c r="K773" s="41"/>
      <c r="L773" s="41"/>
    </row>
    <row r="774" spans="5:12" s="39" customFormat="1" x14ac:dyDescent="0.3">
      <c r="E774" s="41"/>
      <c r="F774" s="41"/>
      <c r="G774" s="41"/>
      <c r="H774" s="41"/>
      <c r="I774" s="41"/>
      <c r="J774" s="41"/>
      <c r="K774" s="41"/>
      <c r="L774" s="41"/>
    </row>
    <row r="775" spans="5:12" s="39" customFormat="1" x14ac:dyDescent="0.3">
      <c r="E775" s="41"/>
      <c r="F775" s="41"/>
      <c r="G775" s="41"/>
      <c r="H775" s="41"/>
      <c r="I775" s="41"/>
      <c r="J775" s="41"/>
      <c r="K775" s="41"/>
      <c r="L775" s="41"/>
    </row>
    <row r="776" spans="5:12" s="39" customFormat="1" x14ac:dyDescent="0.3">
      <c r="E776" s="41"/>
      <c r="F776" s="41"/>
      <c r="G776" s="41"/>
      <c r="H776" s="41"/>
      <c r="I776" s="41"/>
      <c r="J776" s="41"/>
      <c r="K776" s="41"/>
      <c r="L776" s="41"/>
    </row>
    <row r="777" spans="5:12" s="39" customFormat="1" x14ac:dyDescent="0.3">
      <c r="E777" s="41"/>
      <c r="F777" s="41"/>
      <c r="G777" s="41"/>
      <c r="H777" s="41"/>
      <c r="I777" s="41"/>
      <c r="J777" s="41"/>
      <c r="K777" s="41"/>
      <c r="L777" s="41"/>
    </row>
    <row r="778" spans="5:12" s="39" customFormat="1" x14ac:dyDescent="0.3">
      <c r="E778" s="41"/>
      <c r="F778" s="41"/>
      <c r="G778" s="41"/>
      <c r="H778" s="41"/>
      <c r="I778" s="41"/>
      <c r="J778" s="41"/>
      <c r="K778" s="41"/>
      <c r="L778" s="41"/>
    </row>
    <row r="779" spans="5:12" s="39" customFormat="1" x14ac:dyDescent="0.3">
      <c r="E779" s="41"/>
      <c r="F779" s="41"/>
      <c r="G779" s="41"/>
      <c r="H779" s="41"/>
      <c r="I779" s="41"/>
      <c r="J779" s="41"/>
      <c r="K779" s="41"/>
      <c r="L779" s="41"/>
    </row>
    <row r="780" spans="5:12" s="39" customFormat="1" x14ac:dyDescent="0.3">
      <c r="E780" s="41"/>
      <c r="F780" s="41"/>
      <c r="G780" s="41"/>
      <c r="H780" s="41"/>
      <c r="I780" s="41"/>
      <c r="J780" s="41"/>
      <c r="K780" s="41"/>
      <c r="L780" s="41"/>
    </row>
    <row r="781" spans="5:12" s="39" customFormat="1" x14ac:dyDescent="0.3">
      <c r="E781" s="41"/>
      <c r="F781" s="41"/>
      <c r="G781" s="41"/>
      <c r="H781" s="41"/>
      <c r="I781" s="41"/>
      <c r="J781" s="41"/>
      <c r="K781" s="41"/>
      <c r="L781" s="41"/>
    </row>
    <row r="782" spans="5:12" s="39" customFormat="1" x14ac:dyDescent="0.3">
      <c r="E782" s="41"/>
      <c r="F782" s="41"/>
      <c r="G782" s="41"/>
      <c r="H782" s="41"/>
      <c r="I782" s="41"/>
      <c r="J782" s="41"/>
      <c r="K782" s="41"/>
      <c r="L782" s="41"/>
    </row>
    <row r="783" spans="5:12" s="39" customFormat="1" x14ac:dyDescent="0.3">
      <c r="E783" s="41"/>
      <c r="F783" s="41"/>
      <c r="G783" s="41"/>
      <c r="H783" s="41"/>
      <c r="I783" s="41"/>
      <c r="J783" s="41"/>
      <c r="K783" s="41"/>
      <c r="L783" s="41"/>
    </row>
    <row r="784" spans="5:12" s="39" customFormat="1" x14ac:dyDescent="0.3">
      <c r="E784" s="41"/>
      <c r="F784" s="41"/>
      <c r="G784" s="41"/>
      <c r="H784" s="41"/>
      <c r="I784" s="41"/>
      <c r="J784" s="41"/>
      <c r="K784" s="41"/>
      <c r="L784" s="41"/>
    </row>
    <row r="785" spans="5:12" s="39" customFormat="1" x14ac:dyDescent="0.3">
      <c r="E785" s="41"/>
      <c r="F785" s="41"/>
      <c r="G785" s="41"/>
      <c r="H785" s="41"/>
      <c r="I785" s="41"/>
      <c r="J785" s="41"/>
      <c r="K785" s="41"/>
      <c r="L785" s="41"/>
    </row>
    <row r="786" spans="5:12" s="39" customFormat="1" x14ac:dyDescent="0.3">
      <c r="E786" s="41"/>
      <c r="F786" s="41"/>
      <c r="G786" s="41"/>
      <c r="H786" s="41"/>
      <c r="I786" s="41"/>
      <c r="J786" s="41"/>
      <c r="K786" s="41"/>
      <c r="L786" s="41"/>
    </row>
    <row r="787" spans="5:12" s="39" customFormat="1" x14ac:dyDescent="0.3">
      <c r="E787" s="41"/>
      <c r="F787" s="41"/>
      <c r="G787" s="41"/>
      <c r="H787" s="41"/>
      <c r="I787" s="41"/>
      <c r="J787" s="41"/>
      <c r="K787" s="41"/>
      <c r="L787" s="41"/>
    </row>
    <row r="788" spans="5:12" s="39" customFormat="1" x14ac:dyDescent="0.3">
      <c r="E788" s="41"/>
      <c r="F788" s="41"/>
      <c r="G788" s="41"/>
      <c r="H788" s="41"/>
      <c r="I788" s="41"/>
      <c r="J788" s="41"/>
      <c r="K788" s="41"/>
      <c r="L788" s="41"/>
    </row>
    <row r="789" spans="5:12" s="39" customFormat="1" x14ac:dyDescent="0.3">
      <c r="E789" s="41"/>
      <c r="F789" s="41"/>
      <c r="G789" s="41"/>
      <c r="H789" s="41"/>
      <c r="I789" s="41"/>
      <c r="J789" s="41"/>
      <c r="K789" s="41"/>
      <c r="L789" s="41"/>
    </row>
    <row r="790" spans="5:12" s="39" customFormat="1" x14ac:dyDescent="0.3">
      <c r="E790" s="41"/>
      <c r="F790" s="41"/>
      <c r="G790" s="41"/>
      <c r="H790" s="41"/>
      <c r="I790" s="41"/>
      <c r="J790" s="41"/>
      <c r="K790" s="41"/>
      <c r="L790" s="41"/>
    </row>
    <row r="791" spans="5:12" s="39" customFormat="1" x14ac:dyDescent="0.3">
      <c r="E791" s="41"/>
      <c r="F791" s="41"/>
      <c r="G791" s="41"/>
      <c r="H791" s="41"/>
      <c r="I791" s="41"/>
      <c r="J791" s="41"/>
      <c r="K791" s="41"/>
      <c r="L791" s="41"/>
    </row>
    <row r="792" spans="5:12" s="39" customFormat="1" x14ac:dyDescent="0.3">
      <c r="E792" s="41"/>
      <c r="F792" s="41"/>
      <c r="G792" s="41"/>
      <c r="H792" s="41"/>
      <c r="I792" s="41"/>
      <c r="J792" s="41"/>
      <c r="K792" s="41"/>
      <c r="L792" s="41"/>
    </row>
    <row r="793" spans="5:12" s="39" customFormat="1" x14ac:dyDescent="0.3">
      <c r="E793" s="41"/>
      <c r="F793" s="41"/>
      <c r="G793" s="41"/>
      <c r="H793" s="41"/>
      <c r="I793" s="41"/>
      <c r="J793" s="41"/>
      <c r="K793" s="41"/>
      <c r="L793" s="41"/>
    </row>
    <row r="794" spans="5:12" s="39" customFormat="1" x14ac:dyDescent="0.3">
      <c r="E794" s="41"/>
      <c r="F794" s="41"/>
      <c r="G794" s="41"/>
      <c r="H794" s="41"/>
      <c r="I794" s="41"/>
      <c r="J794" s="41"/>
      <c r="K794" s="41"/>
      <c r="L794" s="41"/>
    </row>
    <row r="795" spans="5:12" s="39" customFormat="1" x14ac:dyDescent="0.3">
      <c r="E795" s="41"/>
      <c r="F795" s="41"/>
      <c r="G795" s="41"/>
      <c r="H795" s="41"/>
      <c r="I795" s="41"/>
      <c r="J795" s="41"/>
      <c r="K795" s="41"/>
      <c r="L795" s="41"/>
    </row>
    <row r="796" spans="5:12" s="39" customFormat="1" x14ac:dyDescent="0.3">
      <c r="E796" s="41"/>
      <c r="F796" s="41"/>
      <c r="G796" s="41"/>
      <c r="H796" s="41"/>
      <c r="I796" s="41"/>
      <c r="J796" s="41"/>
      <c r="K796" s="41"/>
      <c r="L796" s="41"/>
    </row>
    <row r="797" spans="5:12" s="39" customFormat="1" x14ac:dyDescent="0.3">
      <c r="E797" s="41"/>
      <c r="F797" s="41"/>
      <c r="G797" s="41"/>
      <c r="H797" s="41"/>
      <c r="I797" s="41"/>
      <c r="J797" s="41"/>
      <c r="K797" s="41"/>
      <c r="L797" s="41"/>
    </row>
    <row r="798" spans="5:12" s="39" customFormat="1" x14ac:dyDescent="0.3">
      <c r="E798" s="41"/>
      <c r="F798" s="41"/>
      <c r="G798" s="41"/>
      <c r="H798" s="41"/>
      <c r="I798" s="41"/>
      <c r="J798" s="41"/>
      <c r="K798" s="41"/>
      <c r="L798" s="41"/>
    </row>
    <row r="799" spans="5:12" s="39" customFormat="1" x14ac:dyDescent="0.3">
      <c r="E799" s="41"/>
      <c r="F799" s="41"/>
      <c r="G799" s="41"/>
      <c r="H799" s="41"/>
      <c r="I799" s="41"/>
      <c r="J799" s="41"/>
      <c r="K799" s="41"/>
      <c r="L799" s="41"/>
    </row>
    <row r="800" spans="5:12" s="39" customFormat="1" x14ac:dyDescent="0.3">
      <c r="E800" s="41"/>
      <c r="F800" s="41"/>
      <c r="G800" s="41"/>
      <c r="H800" s="41"/>
      <c r="I800" s="41"/>
      <c r="J800" s="41"/>
      <c r="K800" s="41"/>
      <c r="L800" s="41"/>
    </row>
    <row r="801" spans="5:12" s="39" customFormat="1" x14ac:dyDescent="0.3">
      <c r="E801" s="41"/>
      <c r="F801" s="41"/>
      <c r="G801" s="41"/>
      <c r="H801" s="41"/>
      <c r="I801" s="41"/>
      <c r="J801" s="41"/>
      <c r="K801" s="41"/>
      <c r="L801" s="41"/>
    </row>
    <row r="802" spans="5:12" s="39" customFormat="1" x14ac:dyDescent="0.3">
      <c r="E802" s="41"/>
      <c r="F802" s="41"/>
      <c r="G802" s="41"/>
      <c r="H802" s="41"/>
      <c r="I802" s="41"/>
      <c r="J802" s="41"/>
      <c r="K802" s="41"/>
      <c r="L802" s="41"/>
    </row>
    <row r="803" spans="5:12" s="39" customFormat="1" x14ac:dyDescent="0.3">
      <c r="E803" s="41"/>
      <c r="F803" s="41"/>
      <c r="G803" s="41"/>
      <c r="H803" s="41"/>
      <c r="I803" s="41"/>
      <c r="J803" s="41"/>
      <c r="K803" s="41"/>
      <c r="L803" s="41"/>
    </row>
    <row r="804" spans="5:12" s="39" customFormat="1" x14ac:dyDescent="0.3">
      <c r="E804" s="41"/>
      <c r="F804" s="41"/>
      <c r="G804" s="41"/>
      <c r="H804" s="41"/>
      <c r="I804" s="41"/>
      <c r="J804" s="41"/>
      <c r="K804" s="41"/>
      <c r="L804" s="41"/>
    </row>
    <row r="805" spans="5:12" s="39" customFormat="1" x14ac:dyDescent="0.3">
      <c r="E805" s="41"/>
      <c r="F805" s="41"/>
      <c r="G805" s="41"/>
      <c r="H805" s="41"/>
      <c r="I805" s="41"/>
      <c r="J805" s="41"/>
      <c r="K805" s="41"/>
      <c r="L805" s="41"/>
    </row>
    <row r="806" spans="5:12" s="39" customFormat="1" x14ac:dyDescent="0.3">
      <c r="E806" s="41"/>
      <c r="F806" s="41"/>
      <c r="G806" s="41"/>
      <c r="H806" s="41"/>
      <c r="I806" s="41"/>
      <c r="J806" s="41"/>
      <c r="K806" s="41"/>
      <c r="L806" s="41"/>
    </row>
    <row r="807" spans="5:12" s="39" customFormat="1" x14ac:dyDescent="0.3">
      <c r="E807" s="41"/>
      <c r="F807" s="41"/>
      <c r="G807" s="41"/>
      <c r="H807" s="41"/>
      <c r="I807" s="41"/>
      <c r="J807" s="41"/>
      <c r="K807" s="41"/>
      <c r="L807" s="41"/>
    </row>
    <row r="808" spans="5:12" s="39" customFormat="1" x14ac:dyDescent="0.3">
      <c r="E808" s="41"/>
      <c r="F808" s="41"/>
      <c r="G808" s="41"/>
      <c r="H808" s="41"/>
      <c r="I808" s="41"/>
      <c r="J808" s="41"/>
      <c r="K808" s="41"/>
      <c r="L808" s="41"/>
    </row>
    <row r="809" spans="5:12" s="39" customFormat="1" x14ac:dyDescent="0.3">
      <c r="E809" s="41"/>
      <c r="F809" s="41"/>
      <c r="G809" s="41"/>
      <c r="H809" s="41"/>
      <c r="I809" s="41"/>
      <c r="J809" s="41"/>
      <c r="K809" s="41"/>
      <c r="L809" s="41"/>
    </row>
    <row r="810" spans="5:12" s="39" customFormat="1" x14ac:dyDescent="0.3">
      <c r="E810" s="41"/>
      <c r="F810" s="41"/>
      <c r="G810" s="41"/>
      <c r="H810" s="41"/>
      <c r="I810" s="41"/>
      <c r="J810" s="41"/>
      <c r="K810" s="41"/>
      <c r="L810" s="41"/>
    </row>
    <row r="811" spans="5:12" s="39" customFormat="1" x14ac:dyDescent="0.3">
      <c r="E811" s="41"/>
      <c r="F811" s="41"/>
      <c r="G811" s="41"/>
      <c r="H811" s="41"/>
      <c r="I811" s="41"/>
      <c r="J811" s="41"/>
      <c r="K811" s="41"/>
      <c r="L811" s="41"/>
    </row>
    <row r="812" spans="5:12" s="39" customFormat="1" x14ac:dyDescent="0.3">
      <c r="E812" s="41"/>
      <c r="F812" s="41"/>
      <c r="G812" s="41"/>
      <c r="H812" s="41"/>
      <c r="I812" s="41"/>
      <c r="J812" s="41"/>
      <c r="K812" s="41"/>
      <c r="L812" s="41"/>
    </row>
    <row r="813" spans="5:12" s="39" customFormat="1" x14ac:dyDescent="0.3">
      <c r="E813" s="41"/>
      <c r="F813" s="41"/>
      <c r="G813" s="41"/>
      <c r="H813" s="41"/>
      <c r="I813" s="41"/>
      <c r="J813" s="41"/>
      <c r="K813" s="41"/>
      <c r="L813" s="41"/>
    </row>
    <row r="814" spans="5:12" s="39" customFormat="1" x14ac:dyDescent="0.3">
      <c r="E814" s="41"/>
      <c r="F814" s="41"/>
      <c r="G814" s="41"/>
      <c r="H814" s="41"/>
      <c r="I814" s="41"/>
      <c r="J814" s="41"/>
      <c r="K814" s="41"/>
      <c r="L814" s="41"/>
    </row>
    <row r="815" spans="5:12" s="39" customFormat="1" x14ac:dyDescent="0.3">
      <c r="E815" s="41"/>
      <c r="F815" s="41"/>
      <c r="G815" s="41"/>
      <c r="H815" s="41"/>
      <c r="I815" s="41"/>
      <c r="J815" s="41"/>
      <c r="K815" s="41"/>
      <c r="L815" s="41"/>
    </row>
    <row r="816" spans="5:12" s="39" customFormat="1" x14ac:dyDescent="0.3">
      <c r="E816" s="41"/>
      <c r="F816" s="41"/>
      <c r="G816" s="41"/>
      <c r="H816" s="41"/>
      <c r="I816" s="41"/>
      <c r="J816" s="41"/>
      <c r="K816" s="41"/>
      <c r="L816" s="41"/>
    </row>
    <row r="817" spans="5:12" s="39" customFormat="1" x14ac:dyDescent="0.3">
      <c r="E817" s="41"/>
      <c r="F817" s="41"/>
      <c r="G817" s="41"/>
      <c r="H817" s="41"/>
      <c r="I817" s="41"/>
      <c r="J817" s="41"/>
      <c r="K817" s="41"/>
      <c r="L817" s="41"/>
    </row>
    <row r="818" spans="5:12" s="39" customFormat="1" x14ac:dyDescent="0.3">
      <c r="E818" s="41"/>
      <c r="F818" s="41"/>
      <c r="G818" s="41"/>
      <c r="H818" s="41"/>
      <c r="I818" s="41"/>
      <c r="J818" s="41"/>
      <c r="K818" s="41"/>
      <c r="L818" s="41"/>
    </row>
    <row r="819" spans="5:12" s="39" customFormat="1" x14ac:dyDescent="0.3">
      <c r="E819" s="41"/>
      <c r="F819" s="41"/>
      <c r="G819" s="41"/>
      <c r="H819" s="41"/>
      <c r="I819" s="41"/>
      <c r="J819" s="41"/>
      <c r="K819" s="41"/>
      <c r="L819" s="41"/>
    </row>
    <row r="820" spans="5:12" s="39" customFormat="1" x14ac:dyDescent="0.3">
      <c r="E820" s="41"/>
      <c r="F820" s="41"/>
      <c r="G820" s="41"/>
      <c r="H820" s="41"/>
      <c r="I820" s="41"/>
      <c r="J820" s="41"/>
      <c r="K820" s="41"/>
      <c r="L820" s="41"/>
    </row>
    <row r="821" spans="5:12" s="39" customFormat="1" x14ac:dyDescent="0.3">
      <c r="E821" s="41"/>
      <c r="F821" s="41"/>
      <c r="G821" s="41"/>
      <c r="H821" s="41"/>
      <c r="I821" s="41"/>
      <c r="J821" s="41"/>
      <c r="K821" s="41"/>
      <c r="L821" s="41"/>
    </row>
    <row r="822" spans="5:12" s="39" customFormat="1" x14ac:dyDescent="0.3">
      <c r="E822" s="41"/>
      <c r="F822" s="41"/>
      <c r="G822" s="41"/>
      <c r="H822" s="41"/>
      <c r="I822" s="41"/>
      <c r="J822" s="41"/>
      <c r="K822" s="41"/>
      <c r="L822" s="41"/>
    </row>
    <row r="823" spans="5:12" s="39" customFormat="1" x14ac:dyDescent="0.3">
      <c r="E823" s="41"/>
      <c r="F823" s="41"/>
      <c r="G823" s="41"/>
      <c r="H823" s="41"/>
      <c r="I823" s="41"/>
      <c r="J823" s="41"/>
      <c r="K823" s="41"/>
      <c r="L823" s="41"/>
    </row>
    <row r="824" spans="5:12" s="39" customFormat="1" x14ac:dyDescent="0.3">
      <c r="E824" s="41"/>
      <c r="F824" s="41"/>
      <c r="G824" s="41"/>
      <c r="H824" s="41"/>
      <c r="I824" s="41"/>
      <c r="J824" s="41"/>
      <c r="K824" s="41"/>
      <c r="L824" s="41"/>
    </row>
    <row r="825" spans="5:12" s="39" customFormat="1" x14ac:dyDescent="0.3">
      <c r="E825" s="41"/>
      <c r="F825" s="41"/>
      <c r="G825" s="41"/>
      <c r="H825" s="41"/>
      <c r="I825" s="41"/>
      <c r="J825" s="41"/>
      <c r="K825" s="41"/>
      <c r="L825" s="41"/>
    </row>
    <row r="826" spans="5:12" s="39" customFormat="1" x14ac:dyDescent="0.3">
      <c r="E826" s="41"/>
      <c r="F826" s="41"/>
      <c r="G826" s="41"/>
      <c r="H826" s="41"/>
      <c r="I826" s="41"/>
      <c r="J826" s="41"/>
      <c r="K826" s="41"/>
      <c r="L826" s="41"/>
    </row>
    <row r="827" spans="5:12" s="39" customFormat="1" x14ac:dyDescent="0.3">
      <c r="E827" s="41"/>
      <c r="F827" s="41"/>
      <c r="G827" s="41"/>
      <c r="H827" s="41"/>
      <c r="I827" s="41"/>
      <c r="J827" s="41"/>
      <c r="K827" s="41"/>
      <c r="L827" s="41"/>
    </row>
    <row r="828" spans="5:12" s="39" customFormat="1" x14ac:dyDescent="0.3">
      <c r="E828" s="41"/>
      <c r="F828" s="41"/>
      <c r="G828" s="41"/>
      <c r="H828" s="41"/>
      <c r="I828" s="41"/>
      <c r="J828" s="41"/>
      <c r="K828" s="41"/>
      <c r="L828" s="41"/>
    </row>
    <row r="829" spans="5:12" s="39" customFormat="1" x14ac:dyDescent="0.3">
      <c r="E829" s="41"/>
      <c r="F829" s="41"/>
      <c r="G829" s="41"/>
      <c r="H829" s="41"/>
      <c r="I829" s="41"/>
      <c r="J829" s="41"/>
      <c r="K829" s="41"/>
      <c r="L829" s="41"/>
    </row>
    <row r="830" spans="5:12" s="39" customFormat="1" x14ac:dyDescent="0.3">
      <c r="E830" s="41"/>
      <c r="F830" s="41"/>
      <c r="G830" s="41"/>
      <c r="H830" s="41"/>
      <c r="I830" s="41"/>
      <c r="J830" s="41"/>
      <c r="K830" s="41"/>
      <c r="L830" s="41"/>
    </row>
    <row r="831" spans="5:12" s="39" customFormat="1" x14ac:dyDescent="0.3">
      <c r="E831" s="41"/>
      <c r="F831" s="41"/>
      <c r="G831" s="41"/>
      <c r="H831" s="41"/>
      <c r="I831" s="41"/>
      <c r="J831" s="41"/>
      <c r="K831" s="41"/>
      <c r="L831" s="41"/>
    </row>
    <row r="832" spans="5:12" s="39" customFormat="1" x14ac:dyDescent="0.3">
      <c r="E832" s="41"/>
      <c r="F832" s="41"/>
      <c r="G832" s="41"/>
      <c r="H832" s="41"/>
      <c r="I832" s="41"/>
      <c r="J832" s="41"/>
      <c r="K832" s="41"/>
      <c r="L832" s="41"/>
    </row>
    <row r="833" spans="5:12" s="39" customFormat="1" x14ac:dyDescent="0.3">
      <c r="E833" s="41"/>
      <c r="F833" s="41"/>
      <c r="G833" s="41"/>
      <c r="H833" s="41"/>
      <c r="I833" s="41"/>
      <c r="J833" s="41"/>
      <c r="K833" s="41"/>
      <c r="L833" s="41"/>
    </row>
    <row r="834" spans="5:12" s="39" customFormat="1" x14ac:dyDescent="0.3">
      <c r="E834" s="41"/>
      <c r="F834" s="41"/>
      <c r="G834" s="41"/>
      <c r="H834" s="41"/>
      <c r="I834" s="41"/>
      <c r="J834" s="41"/>
      <c r="K834" s="41"/>
      <c r="L834" s="41"/>
    </row>
    <row r="835" spans="5:12" s="39" customFormat="1" x14ac:dyDescent="0.3">
      <c r="E835" s="41"/>
      <c r="F835" s="41"/>
      <c r="G835" s="41"/>
      <c r="H835" s="41"/>
      <c r="I835" s="41"/>
      <c r="J835" s="41"/>
      <c r="K835" s="41"/>
      <c r="L835" s="41"/>
    </row>
    <row r="836" spans="5:12" s="39" customFormat="1" x14ac:dyDescent="0.3">
      <c r="E836" s="41"/>
      <c r="F836" s="41"/>
      <c r="G836" s="41"/>
      <c r="H836" s="41"/>
      <c r="I836" s="41"/>
      <c r="J836" s="41"/>
      <c r="K836" s="41"/>
      <c r="L836" s="41"/>
    </row>
    <row r="837" spans="5:12" s="39" customFormat="1" x14ac:dyDescent="0.3">
      <c r="E837" s="41"/>
      <c r="F837" s="41"/>
      <c r="G837" s="41"/>
      <c r="H837" s="41"/>
      <c r="I837" s="41"/>
      <c r="J837" s="41"/>
      <c r="K837" s="41"/>
      <c r="L837" s="41"/>
    </row>
    <row r="838" spans="5:12" s="39" customFormat="1" x14ac:dyDescent="0.3">
      <c r="E838" s="41"/>
      <c r="F838" s="41"/>
      <c r="G838" s="41"/>
      <c r="H838" s="41"/>
      <c r="I838" s="41"/>
      <c r="J838" s="41"/>
      <c r="K838" s="41"/>
      <c r="L838" s="41"/>
    </row>
    <row r="839" spans="5:12" s="39" customFormat="1" x14ac:dyDescent="0.3">
      <c r="E839" s="41"/>
      <c r="F839" s="41"/>
      <c r="G839" s="41"/>
      <c r="H839" s="41"/>
      <c r="I839" s="41"/>
      <c r="J839" s="41"/>
      <c r="K839" s="41"/>
      <c r="L839" s="41"/>
    </row>
    <row r="840" spans="5:12" s="39" customFormat="1" x14ac:dyDescent="0.3">
      <c r="E840" s="41"/>
      <c r="F840" s="41"/>
      <c r="G840" s="41"/>
      <c r="H840" s="41"/>
      <c r="I840" s="41"/>
      <c r="J840" s="41"/>
      <c r="K840" s="41"/>
      <c r="L840" s="41"/>
    </row>
    <row r="841" spans="5:12" s="39" customFormat="1" x14ac:dyDescent="0.3">
      <c r="E841" s="41"/>
      <c r="F841" s="41"/>
      <c r="G841" s="41"/>
      <c r="H841" s="41"/>
      <c r="I841" s="41"/>
      <c r="J841" s="41"/>
      <c r="K841" s="41"/>
      <c r="L841" s="41"/>
    </row>
    <row r="842" spans="5:12" s="39" customFormat="1" x14ac:dyDescent="0.3">
      <c r="E842" s="41"/>
      <c r="F842" s="41"/>
      <c r="G842" s="41"/>
      <c r="H842" s="41"/>
      <c r="I842" s="41"/>
      <c r="J842" s="41"/>
      <c r="K842" s="41"/>
      <c r="L842" s="41"/>
    </row>
    <row r="843" spans="5:12" s="39" customFormat="1" x14ac:dyDescent="0.3">
      <c r="E843" s="41"/>
      <c r="F843" s="41"/>
      <c r="G843" s="41"/>
      <c r="H843" s="41"/>
      <c r="I843" s="41"/>
      <c r="J843" s="41"/>
      <c r="K843" s="41"/>
      <c r="L843" s="41"/>
    </row>
    <row r="844" spans="5:12" s="39" customFormat="1" x14ac:dyDescent="0.3">
      <c r="E844" s="41"/>
      <c r="F844" s="41"/>
      <c r="G844" s="41"/>
      <c r="H844" s="41"/>
      <c r="I844" s="41"/>
      <c r="J844" s="41"/>
      <c r="K844" s="41"/>
      <c r="L844" s="41"/>
    </row>
    <row r="845" spans="5:12" s="39" customFormat="1" x14ac:dyDescent="0.3">
      <c r="E845" s="41"/>
      <c r="F845" s="41"/>
      <c r="G845" s="41"/>
      <c r="H845" s="41"/>
      <c r="I845" s="41"/>
      <c r="J845" s="41"/>
      <c r="K845" s="41"/>
      <c r="L845" s="41"/>
    </row>
    <row r="846" spans="5:12" s="39" customFormat="1" x14ac:dyDescent="0.3">
      <c r="E846" s="41"/>
      <c r="F846" s="41"/>
      <c r="G846" s="41"/>
      <c r="H846" s="41"/>
      <c r="I846" s="41"/>
      <c r="J846" s="41"/>
      <c r="K846" s="41"/>
      <c r="L846" s="41"/>
    </row>
    <row r="847" spans="5:12" s="39" customFormat="1" x14ac:dyDescent="0.3">
      <c r="E847" s="41"/>
      <c r="F847" s="41"/>
      <c r="G847" s="41"/>
      <c r="H847" s="41"/>
      <c r="I847" s="41"/>
      <c r="J847" s="41"/>
      <c r="K847" s="41"/>
      <c r="L847" s="41"/>
    </row>
    <row r="848" spans="5:12" s="39" customFormat="1" x14ac:dyDescent="0.3">
      <c r="E848" s="41"/>
      <c r="F848" s="41"/>
      <c r="G848" s="41"/>
      <c r="H848" s="41"/>
      <c r="I848" s="41"/>
      <c r="J848" s="41"/>
      <c r="K848" s="41"/>
      <c r="L848" s="41"/>
    </row>
    <row r="849" spans="5:12" s="39" customFormat="1" x14ac:dyDescent="0.3">
      <c r="E849" s="41"/>
      <c r="F849" s="41"/>
      <c r="G849" s="41"/>
      <c r="H849" s="41"/>
      <c r="I849" s="41"/>
      <c r="J849" s="41"/>
      <c r="K849" s="41"/>
      <c r="L849" s="41"/>
    </row>
    <row r="850" spans="5:12" s="39" customFormat="1" x14ac:dyDescent="0.3">
      <c r="E850" s="41"/>
      <c r="F850" s="41"/>
      <c r="G850" s="41"/>
      <c r="H850" s="41"/>
      <c r="I850" s="41"/>
      <c r="J850" s="41"/>
      <c r="K850" s="41"/>
      <c r="L850" s="41"/>
    </row>
    <row r="851" spans="5:12" s="39" customFormat="1" x14ac:dyDescent="0.3">
      <c r="E851" s="41"/>
      <c r="F851" s="41"/>
      <c r="G851" s="41"/>
      <c r="H851" s="41"/>
      <c r="I851" s="41"/>
      <c r="J851" s="41"/>
      <c r="K851" s="41"/>
      <c r="L851" s="41"/>
    </row>
    <row r="852" spans="5:12" s="39" customFormat="1" x14ac:dyDescent="0.3">
      <c r="E852" s="41"/>
      <c r="F852" s="41"/>
      <c r="G852" s="41"/>
      <c r="H852" s="41"/>
      <c r="I852" s="41"/>
      <c r="J852" s="41"/>
      <c r="K852" s="41"/>
      <c r="L852" s="41"/>
    </row>
    <row r="853" spans="5:12" s="39" customFormat="1" x14ac:dyDescent="0.3">
      <c r="E853" s="41"/>
      <c r="F853" s="41"/>
      <c r="G853" s="41"/>
      <c r="H853" s="41"/>
      <c r="I853" s="41"/>
      <c r="J853" s="41"/>
      <c r="K853" s="41"/>
      <c r="L853" s="41"/>
    </row>
    <row r="854" spans="5:12" s="39" customFormat="1" x14ac:dyDescent="0.3">
      <c r="E854" s="41"/>
      <c r="F854" s="41"/>
      <c r="G854" s="41"/>
      <c r="H854" s="41"/>
      <c r="I854" s="41"/>
      <c r="J854" s="41"/>
      <c r="K854" s="41"/>
      <c r="L854" s="41"/>
    </row>
    <row r="855" spans="5:12" s="39" customFormat="1" x14ac:dyDescent="0.3">
      <c r="E855" s="41"/>
      <c r="F855" s="41"/>
      <c r="G855" s="41"/>
      <c r="H855" s="41"/>
      <c r="I855" s="41"/>
      <c r="J855" s="41"/>
      <c r="K855" s="41"/>
      <c r="L855" s="41"/>
    </row>
    <row r="856" spans="5:12" s="39" customFormat="1" x14ac:dyDescent="0.3">
      <c r="E856" s="41"/>
      <c r="F856" s="41"/>
      <c r="G856" s="41"/>
      <c r="H856" s="41"/>
      <c r="I856" s="41"/>
      <c r="J856" s="41"/>
      <c r="K856" s="41"/>
      <c r="L856" s="41"/>
    </row>
    <row r="857" spans="5:12" s="39" customFormat="1" x14ac:dyDescent="0.3">
      <c r="E857" s="41"/>
      <c r="F857" s="41"/>
      <c r="G857" s="41"/>
      <c r="H857" s="41"/>
      <c r="I857" s="41"/>
      <c r="J857" s="41"/>
      <c r="K857" s="41"/>
      <c r="L857" s="41"/>
    </row>
    <row r="858" spans="5:12" s="39" customFormat="1" x14ac:dyDescent="0.3">
      <c r="E858" s="41"/>
      <c r="F858" s="41"/>
      <c r="G858" s="41"/>
      <c r="H858" s="41"/>
      <c r="I858" s="41"/>
      <c r="J858" s="41"/>
      <c r="K858" s="41"/>
      <c r="L858" s="41"/>
    </row>
    <row r="859" spans="5:12" s="39" customFormat="1" x14ac:dyDescent="0.3">
      <c r="E859" s="41"/>
      <c r="F859" s="41"/>
      <c r="G859" s="41"/>
      <c r="H859" s="41"/>
      <c r="I859" s="41"/>
      <c r="J859" s="41"/>
      <c r="K859" s="41"/>
      <c r="L859" s="41"/>
    </row>
    <row r="860" spans="5:12" s="39" customFormat="1" x14ac:dyDescent="0.3">
      <c r="E860" s="41"/>
      <c r="F860" s="41"/>
      <c r="G860" s="41"/>
      <c r="H860" s="41"/>
      <c r="I860" s="41"/>
      <c r="J860" s="41"/>
      <c r="K860" s="41"/>
      <c r="L860" s="41"/>
    </row>
    <row r="861" spans="5:12" s="39" customFormat="1" x14ac:dyDescent="0.3">
      <c r="E861" s="41"/>
      <c r="F861" s="41"/>
      <c r="G861" s="41"/>
      <c r="H861" s="41"/>
      <c r="I861" s="41"/>
      <c r="J861" s="41"/>
      <c r="K861" s="41"/>
      <c r="L861" s="41"/>
    </row>
    <row r="862" spans="5:12" s="39" customFormat="1" x14ac:dyDescent="0.3">
      <c r="E862" s="41"/>
      <c r="F862" s="41"/>
      <c r="G862" s="41"/>
      <c r="H862" s="41"/>
      <c r="I862" s="41"/>
      <c r="J862" s="41"/>
      <c r="K862" s="41"/>
      <c r="L862" s="41"/>
    </row>
    <row r="863" spans="5:12" s="39" customFormat="1" x14ac:dyDescent="0.3">
      <c r="E863" s="41"/>
      <c r="F863" s="41"/>
      <c r="G863" s="41"/>
      <c r="H863" s="41"/>
      <c r="I863" s="41"/>
      <c r="J863" s="41"/>
      <c r="K863" s="41"/>
      <c r="L863" s="41"/>
    </row>
    <row r="864" spans="5:12" s="39" customFormat="1" x14ac:dyDescent="0.3">
      <c r="E864" s="41"/>
      <c r="F864" s="41"/>
      <c r="G864" s="41"/>
      <c r="H864" s="41"/>
      <c r="I864" s="41"/>
      <c r="J864" s="41"/>
      <c r="K864" s="41"/>
      <c r="L864" s="41"/>
    </row>
    <row r="865" spans="5:12" s="39" customFormat="1" x14ac:dyDescent="0.3">
      <c r="E865" s="41"/>
      <c r="F865" s="41"/>
      <c r="G865" s="41"/>
      <c r="H865" s="41"/>
      <c r="I865" s="41"/>
      <c r="J865" s="41"/>
      <c r="K865" s="41"/>
      <c r="L865" s="41"/>
    </row>
    <row r="866" spans="5:12" s="39" customFormat="1" x14ac:dyDescent="0.3">
      <c r="E866" s="41"/>
      <c r="F866" s="41"/>
      <c r="G866" s="41"/>
      <c r="H866" s="41"/>
      <c r="I866" s="41"/>
      <c r="J866" s="41"/>
      <c r="K866" s="41"/>
      <c r="L866" s="41"/>
    </row>
    <row r="867" spans="5:12" s="39" customFormat="1" x14ac:dyDescent="0.3">
      <c r="E867" s="41"/>
      <c r="F867" s="41"/>
      <c r="G867" s="41"/>
      <c r="H867" s="41"/>
      <c r="I867" s="41"/>
      <c r="J867" s="41"/>
      <c r="K867" s="41"/>
      <c r="L867" s="41"/>
    </row>
    <row r="868" spans="5:12" s="39" customFormat="1" x14ac:dyDescent="0.3">
      <c r="E868" s="41"/>
      <c r="F868" s="41"/>
      <c r="G868" s="41"/>
      <c r="H868" s="41"/>
      <c r="I868" s="41"/>
      <c r="J868" s="41"/>
      <c r="K868" s="41"/>
      <c r="L868" s="41"/>
    </row>
    <row r="869" spans="5:12" s="39" customFormat="1" x14ac:dyDescent="0.3">
      <c r="E869" s="41"/>
      <c r="F869" s="41"/>
      <c r="G869" s="41"/>
      <c r="H869" s="41"/>
      <c r="I869" s="41"/>
      <c r="J869" s="41"/>
      <c r="K869" s="41"/>
      <c r="L869" s="41"/>
    </row>
    <row r="870" spans="5:12" s="39" customFormat="1" x14ac:dyDescent="0.3">
      <c r="E870" s="41"/>
      <c r="F870" s="41"/>
      <c r="G870" s="41"/>
      <c r="H870" s="41"/>
      <c r="I870" s="41"/>
      <c r="J870" s="41"/>
      <c r="K870" s="41"/>
      <c r="L870" s="41"/>
    </row>
    <row r="871" spans="5:12" s="39" customFormat="1" x14ac:dyDescent="0.3">
      <c r="E871" s="41"/>
      <c r="F871" s="41"/>
      <c r="G871" s="41"/>
      <c r="H871" s="41"/>
      <c r="I871" s="41"/>
      <c r="J871" s="41"/>
      <c r="K871" s="41"/>
      <c r="L871" s="41"/>
    </row>
    <row r="872" spans="5:12" s="39" customFormat="1" x14ac:dyDescent="0.3">
      <c r="E872" s="41"/>
      <c r="F872" s="41"/>
      <c r="G872" s="41"/>
      <c r="H872" s="41"/>
      <c r="I872" s="41"/>
      <c r="J872" s="41"/>
      <c r="K872" s="41"/>
      <c r="L872" s="41"/>
    </row>
    <row r="873" spans="5:12" s="39" customFormat="1" x14ac:dyDescent="0.3">
      <c r="E873" s="41"/>
      <c r="F873" s="41"/>
      <c r="G873" s="41"/>
      <c r="H873" s="41"/>
      <c r="I873" s="41"/>
      <c r="J873" s="41"/>
      <c r="K873" s="41"/>
      <c r="L873" s="41"/>
    </row>
    <row r="874" spans="5:12" s="39" customFormat="1" x14ac:dyDescent="0.3">
      <c r="E874" s="41"/>
      <c r="F874" s="41"/>
      <c r="G874" s="41"/>
      <c r="H874" s="41"/>
      <c r="I874" s="41"/>
      <c r="J874" s="41"/>
      <c r="K874" s="41"/>
      <c r="L874" s="41"/>
    </row>
    <row r="875" spans="5:12" s="39" customFormat="1" x14ac:dyDescent="0.3">
      <c r="E875" s="41"/>
      <c r="F875" s="41"/>
      <c r="G875" s="41"/>
      <c r="H875" s="41"/>
      <c r="I875" s="41"/>
      <c r="J875" s="41"/>
      <c r="K875" s="41"/>
      <c r="L875" s="41"/>
    </row>
    <row r="876" spans="5:12" s="39" customFormat="1" x14ac:dyDescent="0.3">
      <c r="E876" s="41"/>
      <c r="F876" s="41"/>
      <c r="G876" s="41"/>
      <c r="H876" s="41"/>
      <c r="I876" s="41"/>
      <c r="J876" s="41"/>
      <c r="K876" s="41"/>
      <c r="L876" s="41"/>
    </row>
    <row r="877" spans="5:12" s="39" customFormat="1" x14ac:dyDescent="0.3">
      <c r="E877" s="41"/>
      <c r="F877" s="41"/>
      <c r="G877" s="41"/>
      <c r="H877" s="41"/>
      <c r="I877" s="41"/>
      <c r="J877" s="41"/>
      <c r="K877" s="41"/>
      <c r="L877" s="41"/>
    </row>
    <row r="878" spans="5:12" s="39" customFormat="1" x14ac:dyDescent="0.3">
      <c r="E878" s="41"/>
      <c r="F878" s="41"/>
      <c r="G878" s="41"/>
      <c r="H878" s="41"/>
      <c r="I878" s="41"/>
      <c r="J878" s="41"/>
      <c r="K878" s="41"/>
      <c r="L878" s="41"/>
    </row>
    <row r="879" spans="5:12" s="39" customFormat="1" x14ac:dyDescent="0.3">
      <c r="E879" s="41"/>
      <c r="F879" s="41"/>
      <c r="G879" s="41"/>
      <c r="H879" s="41"/>
      <c r="I879" s="41"/>
      <c r="J879" s="41"/>
      <c r="K879" s="41"/>
      <c r="L879" s="41"/>
    </row>
    <row r="880" spans="5:12" s="39" customFormat="1" x14ac:dyDescent="0.3">
      <c r="E880" s="41"/>
      <c r="F880" s="41"/>
      <c r="G880" s="41"/>
      <c r="H880" s="41"/>
      <c r="I880" s="41"/>
      <c r="J880" s="41"/>
      <c r="K880" s="41"/>
      <c r="L880" s="41"/>
    </row>
    <row r="881" spans="5:12" s="39" customFormat="1" x14ac:dyDescent="0.3">
      <c r="E881" s="41"/>
      <c r="F881" s="41"/>
      <c r="G881" s="41"/>
      <c r="H881" s="41"/>
      <c r="I881" s="41"/>
      <c r="J881" s="41"/>
      <c r="K881" s="41"/>
      <c r="L881" s="41"/>
    </row>
    <row r="882" spans="5:12" s="39" customFormat="1" x14ac:dyDescent="0.3">
      <c r="E882" s="41"/>
      <c r="F882" s="41"/>
      <c r="G882" s="41"/>
      <c r="H882" s="41"/>
      <c r="I882" s="41"/>
      <c r="J882" s="41"/>
      <c r="K882" s="41"/>
      <c r="L882" s="41"/>
    </row>
    <row r="883" spans="5:12" s="39" customFormat="1" x14ac:dyDescent="0.3">
      <c r="E883" s="41"/>
      <c r="F883" s="41"/>
      <c r="G883" s="41"/>
      <c r="H883" s="41"/>
      <c r="I883" s="41"/>
      <c r="J883" s="41"/>
      <c r="K883" s="41"/>
      <c r="L883" s="41"/>
    </row>
    <row r="884" spans="5:12" s="39" customFormat="1" x14ac:dyDescent="0.3">
      <c r="E884" s="41"/>
      <c r="F884" s="41"/>
      <c r="G884" s="41"/>
      <c r="H884" s="41"/>
      <c r="I884" s="41"/>
      <c r="J884" s="41"/>
      <c r="K884" s="41"/>
      <c r="L884" s="41"/>
    </row>
    <row r="885" spans="5:12" s="39" customFormat="1" x14ac:dyDescent="0.3">
      <c r="E885" s="41"/>
      <c r="F885" s="41"/>
      <c r="G885" s="41"/>
      <c r="H885" s="41"/>
      <c r="I885" s="41"/>
      <c r="J885" s="41"/>
      <c r="K885" s="41"/>
      <c r="L885" s="41"/>
    </row>
    <row r="886" spans="5:12" s="39" customFormat="1" x14ac:dyDescent="0.3">
      <c r="E886" s="41"/>
      <c r="F886" s="41"/>
      <c r="G886" s="41"/>
      <c r="H886" s="41"/>
      <c r="I886" s="41"/>
      <c r="J886" s="41"/>
      <c r="K886" s="41"/>
      <c r="L886" s="41"/>
    </row>
    <row r="887" spans="5:12" s="39" customFormat="1" x14ac:dyDescent="0.3">
      <c r="E887" s="41"/>
      <c r="F887" s="41"/>
      <c r="G887" s="41"/>
      <c r="H887" s="41"/>
      <c r="I887" s="41"/>
      <c r="J887" s="41"/>
      <c r="K887" s="41"/>
      <c r="L887" s="41"/>
    </row>
    <row r="888" spans="5:12" s="39" customFormat="1" x14ac:dyDescent="0.3">
      <c r="E888" s="41"/>
      <c r="F888" s="41"/>
      <c r="G888" s="41"/>
      <c r="H888" s="41"/>
      <c r="I888" s="41"/>
      <c r="J888" s="41"/>
      <c r="K888" s="41"/>
      <c r="L888" s="41"/>
    </row>
    <row r="889" spans="5:12" s="39" customFormat="1" x14ac:dyDescent="0.3">
      <c r="E889" s="41"/>
      <c r="F889" s="41"/>
      <c r="G889" s="41"/>
      <c r="H889" s="41"/>
      <c r="I889" s="41"/>
      <c r="J889" s="41"/>
      <c r="K889" s="41"/>
      <c r="L889" s="41"/>
    </row>
    <row r="890" spans="5:12" s="39" customFormat="1" x14ac:dyDescent="0.3">
      <c r="E890" s="41"/>
      <c r="F890" s="41"/>
      <c r="G890" s="41"/>
      <c r="H890" s="41"/>
      <c r="I890" s="41"/>
      <c r="J890" s="41"/>
      <c r="K890" s="41"/>
      <c r="L890" s="41"/>
    </row>
    <row r="891" spans="5:12" s="39" customFormat="1" x14ac:dyDescent="0.3">
      <c r="E891" s="41"/>
      <c r="F891" s="41"/>
      <c r="G891" s="41"/>
      <c r="H891" s="41"/>
      <c r="I891" s="41"/>
      <c r="J891" s="41"/>
      <c r="K891" s="41"/>
      <c r="L891" s="41"/>
    </row>
    <row r="892" spans="5:12" s="39" customFormat="1" x14ac:dyDescent="0.3">
      <c r="E892" s="41"/>
      <c r="F892" s="41"/>
      <c r="G892" s="41"/>
      <c r="H892" s="41"/>
      <c r="I892" s="41"/>
      <c r="J892" s="41"/>
      <c r="K892" s="41"/>
      <c r="L892" s="41"/>
    </row>
    <row r="893" spans="5:12" s="39" customFormat="1" x14ac:dyDescent="0.3">
      <c r="E893" s="41"/>
      <c r="F893" s="41"/>
      <c r="G893" s="41"/>
      <c r="H893" s="41"/>
      <c r="I893" s="41"/>
      <c r="J893" s="41"/>
      <c r="K893" s="41"/>
      <c r="L893" s="41"/>
    </row>
    <row r="894" spans="5:12" s="39" customFormat="1" x14ac:dyDescent="0.3">
      <c r="E894" s="41"/>
      <c r="F894" s="41"/>
      <c r="G894" s="41"/>
      <c r="H894" s="41"/>
      <c r="I894" s="41"/>
      <c r="J894" s="41"/>
      <c r="K894" s="41"/>
      <c r="L894" s="41"/>
    </row>
    <row r="895" spans="5:12" s="39" customFormat="1" x14ac:dyDescent="0.3">
      <c r="E895" s="41"/>
      <c r="F895" s="41"/>
      <c r="G895" s="41"/>
      <c r="H895" s="41"/>
      <c r="I895" s="41"/>
      <c r="J895" s="41"/>
      <c r="K895" s="41"/>
      <c r="L895" s="41"/>
    </row>
    <row r="896" spans="5:12" s="39" customFormat="1" x14ac:dyDescent="0.3">
      <c r="E896" s="41"/>
      <c r="F896" s="41"/>
      <c r="G896" s="41"/>
      <c r="H896" s="41"/>
      <c r="I896" s="41"/>
      <c r="J896" s="41"/>
      <c r="K896" s="41"/>
      <c r="L896" s="41"/>
    </row>
    <row r="897" spans="5:12" s="39" customFormat="1" x14ac:dyDescent="0.3">
      <c r="E897" s="41"/>
      <c r="F897" s="41"/>
      <c r="G897" s="41"/>
      <c r="H897" s="41"/>
      <c r="I897" s="41"/>
      <c r="J897" s="41"/>
      <c r="K897" s="41"/>
      <c r="L897" s="41"/>
    </row>
    <row r="898" spans="5:12" s="39" customFormat="1" x14ac:dyDescent="0.3">
      <c r="E898" s="41"/>
      <c r="F898" s="41"/>
      <c r="G898" s="41"/>
      <c r="H898" s="41"/>
      <c r="I898" s="41"/>
      <c r="J898" s="41"/>
      <c r="K898" s="41"/>
      <c r="L898" s="41"/>
    </row>
    <row r="899" spans="5:12" s="39" customFormat="1" x14ac:dyDescent="0.3">
      <c r="E899" s="41"/>
      <c r="F899" s="41"/>
      <c r="G899" s="41"/>
      <c r="H899" s="41"/>
      <c r="I899" s="41"/>
      <c r="J899" s="41"/>
      <c r="K899" s="41"/>
      <c r="L899" s="41"/>
    </row>
    <row r="900" spans="5:12" s="39" customFormat="1" x14ac:dyDescent="0.3">
      <c r="E900" s="41"/>
      <c r="F900" s="41"/>
      <c r="G900" s="41"/>
      <c r="H900" s="41"/>
      <c r="I900" s="41"/>
      <c r="J900" s="41"/>
      <c r="K900" s="41"/>
      <c r="L900" s="41"/>
    </row>
    <row r="901" spans="5:12" s="39" customFormat="1" x14ac:dyDescent="0.3">
      <c r="E901" s="41"/>
      <c r="F901" s="41"/>
      <c r="G901" s="41"/>
      <c r="H901" s="41"/>
      <c r="I901" s="41"/>
      <c r="J901" s="41"/>
      <c r="K901" s="41"/>
      <c r="L901" s="41"/>
    </row>
    <row r="902" spans="5:12" s="39" customFormat="1" x14ac:dyDescent="0.3">
      <c r="E902" s="41"/>
      <c r="F902" s="41"/>
      <c r="G902" s="41"/>
      <c r="H902" s="41"/>
      <c r="I902" s="41"/>
      <c r="J902" s="41"/>
      <c r="K902" s="41"/>
      <c r="L902" s="41"/>
    </row>
    <row r="903" spans="5:12" s="39" customFormat="1" x14ac:dyDescent="0.3">
      <c r="E903" s="41"/>
      <c r="F903" s="41"/>
      <c r="G903" s="41"/>
      <c r="H903" s="41"/>
      <c r="I903" s="41"/>
      <c r="J903" s="41"/>
      <c r="K903" s="41"/>
      <c r="L903" s="41"/>
    </row>
    <row r="904" spans="5:12" s="39" customFormat="1" x14ac:dyDescent="0.3">
      <c r="E904" s="41"/>
      <c r="F904" s="41"/>
      <c r="G904" s="41"/>
      <c r="H904" s="41"/>
      <c r="I904" s="41"/>
      <c r="J904" s="41"/>
      <c r="K904" s="41"/>
      <c r="L904" s="41"/>
    </row>
    <row r="905" spans="5:12" s="39" customFormat="1" x14ac:dyDescent="0.3">
      <c r="E905" s="41"/>
      <c r="F905" s="41"/>
      <c r="G905" s="41"/>
      <c r="H905" s="41"/>
      <c r="I905" s="41"/>
      <c r="J905" s="41"/>
      <c r="K905" s="41"/>
      <c r="L905" s="41"/>
    </row>
    <row r="906" spans="5:12" s="39" customFormat="1" x14ac:dyDescent="0.3">
      <c r="E906" s="41"/>
      <c r="F906" s="41"/>
      <c r="G906" s="41"/>
      <c r="H906" s="41"/>
      <c r="I906" s="41"/>
      <c r="J906" s="41"/>
      <c r="K906" s="41"/>
      <c r="L906" s="41"/>
    </row>
    <row r="907" spans="5:12" s="39" customFormat="1" x14ac:dyDescent="0.3">
      <c r="E907" s="41"/>
      <c r="F907" s="41"/>
      <c r="G907" s="41"/>
      <c r="H907" s="41"/>
      <c r="I907" s="41"/>
      <c r="J907" s="41"/>
      <c r="K907" s="41"/>
      <c r="L907" s="41"/>
    </row>
    <row r="908" spans="5:12" s="39" customFormat="1" x14ac:dyDescent="0.3">
      <c r="E908" s="41"/>
      <c r="F908" s="41"/>
      <c r="G908" s="41"/>
      <c r="H908" s="41"/>
      <c r="I908" s="41"/>
      <c r="J908" s="41"/>
      <c r="K908" s="41"/>
      <c r="L908" s="41"/>
    </row>
    <row r="909" spans="5:12" s="39" customFormat="1" x14ac:dyDescent="0.3">
      <c r="E909" s="41"/>
      <c r="F909" s="41"/>
      <c r="G909" s="41"/>
      <c r="H909" s="41"/>
      <c r="I909" s="41"/>
      <c r="J909" s="41"/>
      <c r="K909" s="41"/>
      <c r="L909" s="41"/>
    </row>
    <row r="910" spans="5:12" s="39" customFormat="1" x14ac:dyDescent="0.3">
      <c r="E910" s="41"/>
      <c r="F910" s="41"/>
      <c r="G910" s="41"/>
      <c r="H910" s="41"/>
      <c r="I910" s="41"/>
      <c r="J910" s="41"/>
      <c r="K910" s="41"/>
      <c r="L910" s="41"/>
    </row>
    <row r="911" spans="5:12" s="39" customFormat="1" x14ac:dyDescent="0.3">
      <c r="E911" s="41"/>
      <c r="F911" s="41"/>
      <c r="G911" s="41"/>
      <c r="H911" s="41"/>
      <c r="I911" s="41"/>
      <c r="J911" s="41"/>
      <c r="K911" s="41"/>
      <c r="L911" s="41"/>
    </row>
    <row r="912" spans="5:12" s="39" customFormat="1" x14ac:dyDescent="0.3">
      <c r="E912" s="41"/>
      <c r="F912" s="41"/>
      <c r="G912" s="41"/>
      <c r="H912" s="41"/>
      <c r="I912" s="41"/>
      <c r="J912" s="41"/>
      <c r="K912" s="41"/>
      <c r="L912" s="41"/>
    </row>
    <row r="913" spans="5:12" s="39" customFormat="1" x14ac:dyDescent="0.3">
      <c r="E913" s="41"/>
      <c r="F913" s="41"/>
      <c r="G913" s="41"/>
      <c r="H913" s="41"/>
      <c r="I913" s="41"/>
      <c r="J913" s="41"/>
      <c r="K913" s="41"/>
      <c r="L913" s="41"/>
    </row>
    <row r="914" spans="5:12" s="39" customFormat="1" x14ac:dyDescent="0.3">
      <c r="E914" s="41"/>
      <c r="F914" s="41"/>
      <c r="G914" s="41"/>
      <c r="H914" s="41"/>
      <c r="I914" s="41"/>
      <c r="J914" s="41"/>
      <c r="K914" s="41"/>
      <c r="L914" s="41"/>
    </row>
    <row r="915" spans="5:12" s="39" customFormat="1" x14ac:dyDescent="0.3">
      <c r="E915" s="41"/>
      <c r="F915" s="41"/>
      <c r="G915" s="41"/>
      <c r="H915" s="41"/>
      <c r="I915" s="41"/>
      <c r="J915" s="41"/>
      <c r="K915" s="41"/>
      <c r="L915" s="41"/>
    </row>
    <row r="916" spans="5:12" s="39" customFormat="1" x14ac:dyDescent="0.3">
      <c r="E916" s="41"/>
      <c r="F916" s="41"/>
      <c r="G916" s="41"/>
      <c r="H916" s="41"/>
      <c r="I916" s="41"/>
      <c r="J916" s="41"/>
      <c r="K916" s="41"/>
      <c r="L916" s="41"/>
    </row>
    <row r="917" spans="5:12" s="39" customFormat="1" x14ac:dyDescent="0.3">
      <c r="E917" s="41"/>
      <c r="F917" s="41"/>
      <c r="G917" s="41"/>
      <c r="H917" s="41"/>
      <c r="I917" s="41"/>
      <c r="J917" s="41"/>
      <c r="K917" s="41"/>
      <c r="L917" s="41"/>
    </row>
    <row r="918" spans="5:12" s="39" customFormat="1" x14ac:dyDescent="0.3">
      <c r="E918" s="41"/>
      <c r="F918" s="41"/>
      <c r="G918" s="41"/>
      <c r="H918" s="41"/>
      <c r="I918" s="41"/>
      <c r="J918" s="41"/>
      <c r="K918" s="41"/>
      <c r="L918" s="41"/>
    </row>
    <row r="919" spans="5:12" s="39" customFormat="1" x14ac:dyDescent="0.3">
      <c r="E919" s="41"/>
      <c r="F919" s="41"/>
      <c r="G919" s="41"/>
      <c r="H919" s="41"/>
      <c r="I919" s="41"/>
      <c r="J919" s="41"/>
      <c r="K919" s="41"/>
      <c r="L919" s="41"/>
    </row>
    <row r="920" spans="5:12" s="39" customFormat="1" x14ac:dyDescent="0.3">
      <c r="E920" s="41"/>
      <c r="F920" s="41"/>
      <c r="G920" s="41"/>
      <c r="H920" s="41"/>
      <c r="I920" s="41"/>
      <c r="J920" s="41"/>
      <c r="K920" s="41"/>
      <c r="L920" s="41"/>
    </row>
    <row r="921" spans="5:12" s="39" customFormat="1" x14ac:dyDescent="0.3">
      <c r="E921" s="41"/>
      <c r="F921" s="41"/>
      <c r="G921" s="41"/>
      <c r="H921" s="41"/>
      <c r="I921" s="41"/>
      <c r="J921" s="41"/>
      <c r="K921" s="41"/>
      <c r="L921" s="41"/>
    </row>
    <row r="922" spans="5:12" s="39" customFormat="1" x14ac:dyDescent="0.3">
      <c r="E922" s="41"/>
      <c r="F922" s="41"/>
      <c r="G922" s="41"/>
      <c r="H922" s="41"/>
      <c r="I922" s="41"/>
      <c r="J922" s="41"/>
      <c r="K922" s="41"/>
      <c r="L922" s="41"/>
    </row>
    <row r="923" spans="5:12" s="39" customFormat="1" x14ac:dyDescent="0.3">
      <c r="E923" s="41"/>
      <c r="F923" s="41"/>
      <c r="G923" s="41"/>
      <c r="H923" s="41"/>
      <c r="I923" s="41"/>
      <c r="J923" s="41"/>
      <c r="K923" s="41"/>
      <c r="L923" s="41"/>
    </row>
    <row r="924" spans="5:12" s="39" customFormat="1" x14ac:dyDescent="0.3">
      <c r="E924" s="41"/>
      <c r="F924" s="41"/>
      <c r="G924" s="41"/>
      <c r="H924" s="41"/>
      <c r="I924" s="41"/>
      <c r="J924" s="41"/>
      <c r="K924" s="41"/>
      <c r="L924" s="41"/>
    </row>
    <row r="925" spans="5:12" s="39" customFormat="1" x14ac:dyDescent="0.3">
      <c r="E925" s="41"/>
      <c r="F925" s="41"/>
      <c r="G925" s="41"/>
      <c r="H925" s="41"/>
      <c r="I925" s="41"/>
      <c r="J925" s="41"/>
      <c r="K925" s="41"/>
      <c r="L925" s="41"/>
    </row>
    <row r="926" spans="5:12" s="39" customFormat="1" x14ac:dyDescent="0.3">
      <c r="E926" s="41"/>
      <c r="F926" s="41"/>
      <c r="G926" s="41"/>
      <c r="H926" s="41"/>
      <c r="I926" s="41"/>
      <c r="J926" s="41"/>
      <c r="K926" s="41"/>
      <c r="L926" s="41"/>
    </row>
    <row r="927" spans="5:12" s="39" customFormat="1" x14ac:dyDescent="0.3">
      <c r="E927" s="41"/>
      <c r="F927" s="41"/>
      <c r="G927" s="41"/>
      <c r="H927" s="41"/>
      <c r="I927" s="41"/>
      <c r="J927" s="41"/>
      <c r="K927" s="41"/>
      <c r="L927" s="41"/>
    </row>
    <row r="928" spans="5:12" s="39" customFormat="1" x14ac:dyDescent="0.3">
      <c r="E928" s="41"/>
      <c r="F928" s="41"/>
      <c r="G928" s="41"/>
      <c r="H928" s="41"/>
      <c r="I928" s="41"/>
      <c r="J928" s="41"/>
      <c r="K928" s="41"/>
      <c r="L928" s="41"/>
    </row>
    <row r="929" spans="5:12" s="39" customFormat="1" x14ac:dyDescent="0.3">
      <c r="E929" s="41"/>
      <c r="F929" s="41"/>
      <c r="G929" s="41"/>
      <c r="H929" s="41"/>
      <c r="I929" s="41"/>
      <c r="J929" s="41"/>
      <c r="K929" s="41"/>
      <c r="L929" s="41"/>
    </row>
    <row r="930" spans="5:12" s="39" customFormat="1" x14ac:dyDescent="0.3">
      <c r="E930" s="41"/>
      <c r="F930" s="41"/>
      <c r="G930" s="41"/>
      <c r="H930" s="41"/>
      <c r="I930" s="41"/>
      <c r="J930" s="41"/>
      <c r="K930" s="41"/>
      <c r="L930" s="41"/>
    </row>
    <row r="931" spans="5:12" s="39" customFormat="1" x14ac:dyDescent="0.3">
      <c r="E931" s="41"/>
      <c r="F931" s="41"/>
      <c r="G931" s="41"/>
      <c r="H931" s="41"/>
      <c r="I931" s="41"/>
      <c r="J931" s="41"/>
      <c r="K931" s="41"/>
      <c r="L931" s="41"/>
    </row>
    <row r="932" spans="5:12" s="39" customFormat="1" x14ac:dyDescent="0.3">
      <c r="E932" s="41"/>
      <c r="F932" s="41"/>
      <c r="G932" s="41"/>
      <c r="H932" s="41"/>
      <c r="I932" s="41"/>
      <c r="J932" s="41"/>
      <c r="K932" s="41"/>
      <c r="L932" s="41"/>
    </row>
    <row r="933" spans="5:12" s="39" customFormat="1" x14ac:dyDescent="0.3">
      <c r="E933" s="41"/>
      <c r="F933" s="41"/>
      <c r="G933" s="41"/>
      <c r="H933" s="41"/>
      <c r="I933" s="41"/>
      <c r="J933" s="41"/>
      <c r="K933" s="41"/>
      <c r="L933" s="41"/>
    </row>
    <row r="934" spans="5:12" s="39" customFormat="1" x14ac:dyDescent="0.3">
      <c r="E934" s="41"/>
      <c r="F934" s="41"/>
      <c r="G934" s="41"/>
      <c r="H934" s="41"/>
      <c r="I934" s="41"/>
      <c r="J934" s="41"/>
      <c r="K934" s="41"/>
      <c r="L934" s="41"/>
    </row>
    <row r="935" spans="5:12" s="39" customFormat="1" x14ac:dyDescent="0.3">
      <c r="E935" s="41"/>
      <c r="F935" s="41"/>
      <c r="G935" s="41"/>
      <c r="H935" s="41"/>
      <c r="I935" s="41"/>
      <c r="J935" s="41"/>
      <c r="K935" s="41"/>
      <c r="L935" s="41"/>
    </row>
    <row r="936" spans="5:12" s="39" customFormat="1" x14ac:dyDescent="0.3">
      <c r="E936" s="41"/>
      <c r="F936" s="41"/>
      <c r="G936" s="41"/>
      <c r="H936" s="41"/>
      <c r="I936" s="41"/>
      <c r="J936" s="41"/>
      <c r="K936" s="41"/>
      <c r="L936" s="41"/>
    </row>
    <row r="937" spans="5:12" s="39" customFormat="1" x14ac:dyDescent="0.3">
      <c r="E937" s="41"/>
      <c r="F937" s="41"/>
      <c r="G937" s="41"/>
      <c r="H937" s="41"/>
      <c r="I937" s="41"/>
      <c r="J937" s="41"/>
      <c r="K937" s="41"/>
      <c r="L937" s="41"/>
    </row>
    <row r="938" spans="5:12" s="39" customFormat="1" x14ac:dyDescent="0.3">
      <c r="E938" s="41"/>
      <c r="F938" s="41"/>
      <c r="G938" s="41"/>
      <c r="H938" s="41"/>
      <c r="I938" s="41"/>
      <c r="J938" s="41"/>
      <c r="K938" s="41"/>
      <c r="L938" s="41"/>
    </row>
    <row r="939" spans="5:12" s="39" customFormat="1" x14ac:dyDescent="0.3">
      <c r="E939" s="41"/>
      <c r="F939" s="41"/>
      <c r="G939" s="41"/>
      <c r="H939" s="41"/>
      <c r="I939" s="41"/>
      <c r="J939" s="41"/>
      <c r="K939" s="41"/>
      <c r="L939" s="41"/>
    </row>
    <row r="940" spans="5:12" s="39" customFormat="1" x14ac:dyDescent="0.3">
      <c r="E940" s="41"/>
      <c r="F940" s="41"/>
      <c r="G940" s="41"/>
      <c r="H940" s="41"/>
      <c r="I940" s="41"/>
      <c r="J940" s="41"/>
      <c r="K940" s="41"/>
      <c r="L940" s="41"/>
    </row>
    <row r="941" spans="5:12" s="39" customFormat="1" x14ac:dyDescent="0.3">
      <c r="E941" s="41"/>
      <c r="F941" s="41"/>
      <c r="G941" s="41"/>
      <c r="H941" s="41"/>
      <c r="I941" s="41"/>
      <c r="J941" s="41"/>
      <c r="K941" s="41"/>
      <c r="L941" s="41"/>
    </row>
    <row r="942" spans="5:12" s="39" customFormat="1" x14ac:dyDescent="0.3">
      <c r="E942" s="41"/>
      <c r="F942" s="41"/>
      <c r="G942" s="41"/>
      <c r="H942" s="41"/>
      <c r="I942" s="41"/>
      <c r="J942" s="41"/>
      <c r="K942" s="41"/>
      <c r="L942" s="41"/>
    </row>
    <row r="943" spans="5:12" s="39" customFormat="1" x14ac:dyDescent="0.3">
      <c r="E943" s="41"/>
      <c r="F943" s="41"/>
      <c r="G943" s="41"/>
      <c r="H943" s="41"/>
      <c r="I943" s="41"/>
      <c r="J943" s="41"/>
      <c r="K943" s="41"/>
      <c r="L943" s="41"/>
    </row>
    <row r="944" spans="5:12" s="39" customFormat="1" x14ac:dyDescent="0.3">
      <c r="E944" s="41"/>
      <c r="F944" s="41"/>
      <c r="G944" s="41"/>
      <c r="H944" s="41"/>
      <c r="I944" s="41"/>
      <c r="J944" s="41"/>
      <c r="K944" s="41"/>
      <c r="L944" s="41"/>
    </row>
    <row r="945" spans="5:12" s="39" customFormat="1" x14ac:dyDescent="0.3">
      <c r="E945" s="41"/>
      <c r="F945" s="41"/>
      <c r="G945" s="41"/>
      <c r="H945" s="41"/>
      <c r="I945" s="41"/>
      <c r="J945" s="41"/>
      <c r="K945" s="41"/>
      <c r="L945" s="41"/>
    </row>
    <row r="946" spans="5:12" s="39" customFormat="1" x14ac:dyDescent="0.3">
      <c r="E946" s="41"/>
      <c r="F946" s="41"/>
      <c r="G946" s="41"/>
      <c r="H946" s="41"/>
      <c r="I946" s="41"/>
      <c r="J946" s="41"/>
      <c r="K946" s="41"/>
      <c r="L946" s="41"/>
    </row>
    <row r="947" spans="5:12" s="39" customFormat="1" x14ac:dyDescent="0.3">
      <c r="E947" s="41"/>
      <c r="F947" s="41"/>
      <c r="G947" s="41"/>
      <c r="H947" s="41"/>
      <c r="I947" s="41"/>
      <c r="J947" s="41"/>
      <c r="K947" s="41"/>
      <c r="L947" s="41"/>
    </row>
    <row r="948" spans="5:12" s="39" customFormat="1" x14ac:dyDescent="0.3">
      <c r="E948" s="41"/>
      <c r="F948" s="41"/>
      <c r="G948" s="41"/>
      <c r="H948" s="41"/>
      <c r="I948" s="41"/>
      <c r="J948" s="41"/>
      <c r="K948" s="41"/>
      <c r="L948" s="41"/>
    </row>
    <row r="949" spans="5:12" s="39" customFormat="1" x14ac:dyDescent="0.3">
      <c r="E949" s="41"/>
      <c r="F949" s="41"/>
      <c r="G949" s="41"/>
      <c r="H949" s="41"/>
      <c r="I949" s="41"/>
      <c r="J949" s="41"/>
      <c r="K949" s="41"/>
      <c r="L949" s="41"/>
    </row>
    <row r="950" spans="5:12" s="39" customFormat="1" x14ac:dyDescent="0.3">
      <c r="E950" s="41"/>
      <c r="F950" s="41"/>
      <c r="G950" s="41"/>
      <c r="H950" s="41"/>
      <c r="I950" s="41"/>
      <c r="J950" s="41"/>
      <c r="K950" s="41"/>
      <c r="L950" s="41"/>
    </row>
    <row r="951" spans="5:12" s="39" customFormat="1" x14ac:dyDescent="0.3">
      <c r="E951" s="41"/>
      <c r="F951" s="41"/>
      <c r="G951" s="41"/>
      <c r="H951" s="41"/>
      <c r="I951" s="41"/>
      <c r="J951" s="41"/>
      <c r="K951" s="41"/>
      <c r="L951" s="41"/>
    </row>
    <row r="952" spans="5:12" s="39" customFormat="1" x14ac:dyDescent="0.3">
      <c r="E952" s="41"/>
      <c r="F952" s="41"/>
      <c r="G952" s="41"/>
      <c r="H952" s="41"/>
      <c r="I952" s="41"/>
      <c r="J952" s="41"/>
      <c r="K952" s="41"/>
      <c r="L952" s="41"/>
    </row>
    <row r="953" spans="5:12" s="39" customFormat="1" x14ac:dyDescent="0.3">
      <c r="E953" s="41"/>
      <c r="F953" s="41"/>
      <c r="G953" s="41"/>
      <c r="H953" s="41"/>
      <c r="I953" s="41"/>
      <c r="J953" s="41"/>
      <c r="K953" s="41"/>
      <c r="L953" s="41"/>
    </row>
    <row r="954" spans="5:12" s="39" customFormat="1" x14ac:dyDescent="0.3">
      <c r="E954" s="41"/>
      <c r="F954" s="41"/>
      <c r="G954" s="41"/>
      <c r="H954" s="41"/>
      <c r="I954" s="41"/>
      <c r="J954" s="41"/>
      <c r="K954" s="41"/>
      <c r="L954" s="41"/>
    </row>
    <row r="955" spans="5:12" s="39" customFormat="1" x14ac:dyDescent="0.3">
      <c r="E955" s="41"/>
      <c r="F955" s="41"/>
      <c r="G955" s="41"/>
      <c r="H955" s="41"/>
      <c r="I955" s="41"/>
      <c r="J955" s="41"/>
      <c r="K955" s="41"/>
      <c r="L955" s="41"/>
    </row>
    <row r="956" spans="5:12" s="39" customFormat="1" x14ac:dyDescent="0.3">
      <c r="E956" s="41"/>
      <c r="F956" s="41"/>
      <c r="G956" s="41"/>
      <c r="H956" s="41"/>
      <c r="I956" s="41"/>
      <c r="J956" s="41"/>
      <c r="K956" s="41"/>
      <c r="L956" s="41"/>
    </row>
    <row r="957" spans="5:12" s="39" customFormat="1" x14ac:dyDescent="0.3">
      <c r="E957" s="41"/>
      <c r="F957" s="41"/>
      <c r="G957" s="41"/>
      <c r="H957" s="41"/>
      <c r="I957" s="41"/>
      <c r="J957" s="41"/>
      <c r="K957" s="41"/>
      <c r="L957" s="41"/>
    </row>
    <row r="958" spans="5:12" s="39" customFormat="1" x14ac:dyDescent="0.3">
      <c r="E958" s="41"/>
      <c r="F958" s="41"/>
      <c r="G958" s="41"/>
      <c r="H958" s="41"/>
      <c r="I958" s="41"/>
      <c r="J958" s="41"/>
      <c r="K958" s="41"/>
      <c r="L958" s="41"/>
    </row>
    <row r="959" spans="5:12" s="39" customFormat="1" x14ac:dyDescent="0.3">
      <c r="E959" s="41"/>
      <c r="F959" s="41"/>
      <c r="G959" s="41"/>
      <c r="H959" s="41"/>
      <c r="I959" s="41"/>
      <c r="J959" s="41"/>
      <c r="K959" s="41"/>
      <c r="L959" s="41"/>
    </row>
    <row r="960" spans="5:12" s="39" customFormat="1" x14ac:dyDescent="0.3">
      <c r="E960" s="41"/>
      <c r="F960" s="41"/>
      <c r="G960" s="41"/>
      <c r="H960" s="41"/>
      <c r="I960" s="41"/>
      <c r="J960" s="41"/>
      <c r="K960" s="41"/>
      <c r="L960" s="41"/>
    </row>
    <row r="961" spans="5:12" s="39" customFormat="1" x14ac:dyDescent="0.3">
      <c r="E961" s="41"/>
      <c r="F961" s="41"/>
      <c r="G961" s="41"/>
      <c r="H961" s="41"/>
      <c r="I961" s="41"/>
      <c r="J961" s="41"/>
      <c r="K961" s="41"/>
      <c r="L961" s="41"/>
    </row>
    <row r="962" spans="5:12" s="39" customFormat="1" x14ac:dyDescent="0.3">
      <c r="E962" s="41"/>
      <c r="F962" s="41"/>
      <c r="G962" s="41"/>
      <c r="H962" s="41"/>
      <c r="I962" s="41"/>
      <c r="J962" s="41"/>
      <c r="K962" s="41"/>
      <c r="L962" s="41"/>
    </row>
    <row r="963" spans="5:12" s="39" customFormat="1" x14ac:dyDescent="0.3">
      <c r="E963" s="41"/>
      <c r="F963" s="41"/>
      <c r="G963" s="41"/>
      <c r="H963" s="41"/>
      <c r="I963" s="41"/>
      <c r="J963" s="41"/>
      <c r="K963" s="41"/>
      <c r="L963" s="41"/>
    </row>
    <row r="964" spans="5:12" s="39" customFormat="1" x14ac:dyDescent="0.3">
      <c r="E964" s="41"/>
      <c r="F964" s="41"/>
      <c r="G964" s="41"/>
      <c r="H964" s="41"/>
      <c r="I964" s="41"/>
      <c r="J964" s="41"/>
      <c r="K964" s="41"/>
      <c r="L964" s="41"/>
    </row>
    <row r="965" spans="5:12" s="39" customFormat="1" x14ac:dyDescent="0.3">
      <c r="E965" s="41"/>
      <c r="F965" s="41"/>
      <c r="G965" s="41"/>
      <c r="H965" s="41"/>
      <c r="I965" s="41"/>
      <c r="J965" s="41"/>
      <c r="K965" s="41"/>
      <c r="L965" s="41"/>
    </row>
    <row r="966" spans="5:12" s="39" customFormat="1" x14ac:dyDescent="0.3">
      <c r="E966" s="41"/>
      <c r="F966" s="41"/>
      <c r="G966" s="41"/>
      <c r="H966" s="41"/>
      <c r="I966" s="41"/>
      <c r="J966" s="41"/>
      <c r="K966" s="41"/>
      <c r="L966" s="41"/>
    </row>
    <row r="967" spans="5:12" s="39" customFormat="1" x14ac:dyDescent="0.3">
      <c r="E967" s="41"/>
      <c r="F967" s="41"/>
      <c r="G967" s="41"/>
      <c r="H967" s="41"/>
      <c r="I967" s="41"/>
      <c r="J967" s="41"/>
      <c r="K967" s="41"/>
      <c r="L967" s="41"/>
    </row>
    <row r="968" spans="5:12" s="39" customFormat="1" x14ac:dyDescent="0.3">
      <c r="E968" s="41"/>
      <c r="F968" s="41"/>
      <c r="G968" s="41"/>
      <c r="H968" s="41"/>
      <c r="I968" s="41"/>
      <c r="J968" s="41"/>
      <c r="K968" s="41"/>
      <c r="L968" s="41"/>
    </row>
    <row r="969" spans="5:12" s="39" customFormat="1" x14ac:dyDescent="0.3">
      <c r="E969" s="41"/>
      <c r="F969" s="41"/>
      <c r="G969" s="41"/>
      <c r="H969" s="41"/>
      <c r="I969" s="41"/>
      <c r="J969" s="41"/>
      <c r="K969" s="41"/>
      <c r="L969" s="41"/>
    </row>
    <row r="970" spans="5:12" s="39" customFormat="1" x14ac:dyDescent="0.3">
      <c r="E970" s="41"/>
      <c r="F970" s="41"/>
      <c r="G970" s="41"/>
      <c r="H970" s="41"/>
      <c r="I970" s="41"/>
      <c r="J970" s="41"/>
      <c r="K970" s="41"/>
      <c r="L970" s="41"/>
    </row>
    <row r="971" spans="5:12" s="39" customFormat="1" x14ac:dyDescent="0.3">
      <c r="E971" s="41"/>
      <c r="F971" s="41"/>
      <c r="G971" s="41"/>
      <c r="H971" s="41"/>
      <c r="I971" s="41"/>
      <c r="J971" s="41"/>
      <c r="K971" s="41"/>
      <c r="L971" s="41"/>
    </row>
    <row r="972" spans="5:12" s="39" customFormat="1" x14ac:dyDescent="0.3">
      <c r="E972" s="41"/>
      <c r="F972" s="41"/>
      <c r="G972" s="41"/>
      <c r="H972" s="41"/>
      <c r="I972" s="41"/>
      <c r="J972" s="41"/>
      <c r="K972" s="41"/>
      <c r="L972" s="41"/>
    </row>
    <row r="973" spans="5:12" s="39" customFormat="1" x14ac:dyDescent="0.3">
      <c r="E973" s="41"/>
      <c r="F973" s="41"/>
      <c r="G973" s="41"/>
      <c r="H973" s="41"/>
      <c r="I973" s="41"/>
      <c r="J973" s="41"/>
      <c r="K973" s="41"/>
      <c r="L973" s="41"/>
    </row>
    <row r="974" spans="5:12" s="39" customFormat="1" x14ac:dyDescent="0.3">
      <c r="E974" s="41"/>
      <c r="F974" s="41"/>
      <c r="G974" s="41"/>
      <c r="H974" s="41"/>
      <c r="I974" s="41"/>
      <c r="J974" s="41"/>
      <c r="K974" s="41"/>
      <c r="L974" s="41"/>
    </row>
    <row r="975" spans="5:12" s="39" customFormat="1" x14ac:dyDescent="0.3">
      <c r="E975" s="41"/>
      <c r="F975" s="41"/>
      <c r="G975" s="41"/>
      <c r="H975" s="41"/>
      <c r="I975" s="41"/>
      <c r="J975" s="41"/>
      <c r="K975" s="41"/>
      <c r="L975" s="41"/>
    </row>
    <row r="976" spans="5:12" s="39" customFormat="1" x14ac:dyDescent="0.3">
      <c r="E976" s="41"/>
      <c r="F976" s="41"/>
      <c r="G976" s="41"/>
      <c r="H976" s="41"/>
      <c r="I976" s="41"/>
      <c r="J976" s="41"/>
      <c r="K976" s="41"/>
      <c r="L976" s="41"/>
    </row>
    <row r="977" spans="5:12" s="39" customFormat="1" x14ac:dyDescent="0.3">
      <c r="E977" s="41"/>
      <c r="F977" s="41"/>
      <c r="G977" s="41"/>
      <c r="H977" s="41"/>
      <c r="I977" s="41"/>
      <c r="J977" s="41"/>
      <c r="K977" s="41"/>
      <c r="L977" s="41"/>
    </row>
    <row r="978" spans="5:12" s="39" customFormat="1" x14ac:dyDescent="0.3">
      <c r="E978" s="41"/>
      <c r="F978" s="41"/>
      <c r="G978" s="41"/>
      <c r="H978" s="41"/>
      <c r="I978" s="41"/>
      <c r="J978" s="41"/>
      <c r="K978" s="41"/>
      <c r="L978" s="41"/>
    </row>
    <row r="979" spans="5:12" s="39" customFormat="1" x14ac:dyDescent="0.3">
      <c r="E979" s="41"/>
      <c r="F979" s="41"/>
      <c r="G979" s="41"/>
      <c r="H979" s="41"/>
      <c r="I979" s="41"/>
      <c r="J979" s="41"/>
      <c r="K979" s="41"/>
      <c r="L979" s="41"/>
    </row>
    <row r="980" spans="5:12" s="39" customFormat="1" x14ac:dyDescent="0.3">
      <c r="E980" s="41"/>
      <c r="F980" s="41"/>
      <c r="G980" s="41"/>
      <c r="H980" s="41"/>
      <c r="I980" s="41"/>
      <c r="J980" s="41"/>
      <c r="K980" s="41"/>
      <c r="L980" s="41"/>
    </row>
    <row r="981" spans="5:12" s="39" customFormat="1" x14ac:dyDescent="0.3">
      <c r="E981" s="41"/>
      <c r="F981" s="41"/>
      <c r="G981" s="41"/>
      <c r="H981" s="41"/>
      <c r="I981" s="41"/>
      <c r="J981" s="41"/>
      <c r="K981" s="41"/>
      <c r="L981" s="41"/>
    </row>
    <row r="982" spans="5:12" s="39" customFormat="1" x14ac:dyDescent="0.3">
      <c r="E982" s="41"/>
      <c r="F982" s="41"/>
      <c r="G982" s="41"/>
      <c r="H982" s="41"/>
      <c r="I982" s="41"/>
      <c r="J982" s="41"/>
      <c r="K982" s="41"/>
      <c r="L982" s="41"/>
    </row>
    <row r="983" spans="5:12" s="39" customFormat="1" x14ac:dyDescent="0.3">
      <c r="E983" s="41"/>
      <c r="F983" s="41"/>
      <c r="G983" s="41"/>
      <c r="H983" s="41"/>
      <c r="I983" s="41"/>
      <c r="J983" s="41"/>
      <c r="K983" s="41"/>
      <c r="L983" s="41"/>
    </row>
    <row r="984" spans="5:12" s="39" customFormat="1" x14ac:dyDescent="0.3">
      <c r="E984" s="41"/>
      <c r="F984" s="41"/>
      <c r="G984" s="41"/>
      <c r="H984" s="41"/>
      <c r="I984" s="41"/>
      <c r="J984" s="41"/>
      <c r="K984" s="41"/>
      <c r="L984" s="41"/>
    </row>
    <row r="985" spans="5:12" s="39" customFormat="1" x14ac:dyDescent="0.3">
      <c r="E985" s="41"/>
      <c r="F985" s="41"/>
      <c r="G985" s="41"/>
      <c r="H985" s="41"/>
      <c r="I985" s="41"/>
      <c r="J985" s="41"/>
      <c r="K985" s="41"/>
      <c r="L985" s="41"/>
    </row>
    <row r="986" spans="5:12" s="39" customFormat="1" x14ac:dyDescent="0.3">
      <c r="E986" s="41"/>
      <c r="F986" s="41"/>
      <c r="G986" s="41"/>
      <c r="H986" s="41"/>
      <c r="I986" s="41"/>
      <c r="J986" s="41"/>
      <c r="K986" s="41"/>
      <c r="L986" s="41"/>
    </row>
    <row r="987" spans="5:12" s="39" customFormat="1" x14ac:dyDescent="0.3">
      <c r="E987" s="41"/>
      <c r="F987" s="41"/>
      <c r="G987" s="41"/>
      <c r="H987" s="41"/>
      <c r="I987" s="41"/>
      <c r="J987" s="41"/>
      <c r="K987" s="41"/>
      <c r="L987" s="41"/>
    </row>
    <row r="988" spans="5:12" s="39" customFormat="1" x14ac:dyDescent="0.3">
      <c r="E988" s="41"/>
      <c r="F988" s="41"/>
      <c r="G988" s="41"/>
      <c r="H988" s="41"/>
      <c r="I988" s="41"/>
      <c r="J988" s="41"/>
      <c r="K988" s="41"/>
      <c r="L988" s="41"/>
    </row>
    <row r="989" spans="5:12" s="39" customFormat="1" x14ac:dyDescent="0.3">
      <c r="E989" s="41"/>
      <c r="F989" s="41"/>
      <c r="G989" s="41"/>
      <c r="H989" s="41"/>
      <c r="I989" s="41"/>
      <c r="J989" s="41"/>
      <c r="K989" s="41"/>
      <c r="L989" s="41"/>
    </row>
    <row r="990" spans="5:12" s="39" customFormat="1" x14ac:dyDescent="0.3">
      <c r="E990" s="41"/>
      <c r="F990" s="41"/>
      <c r="G990" s="41"/>
      <c r="H990" s="41"/>
      <c r="I990" s="41"/>
      <c r="J990" s="41"/>
      <c r="K990" s="41"/>
      <c r="L990" s="41"/>
    </row>
    <row r="991" spans="5:12" s="39" customFormat="1" x14ac:dyDescent="0.3">
      <c r="E991" s="41"/>
      <c r="F991" s="41"/>
      <c r="G991" s="41"/>
      <c r="H991" s="41"/>
      <c r="I991" s="41"/>
      <c r="J991" s="41"/>
      <c r="K991" s="41"/>
      <c r="L991" s="41"/>
    </row>
    <row r="992" spans="5:12" s="39" customFormat="1" x14ac:dyDescent="0.3">
      <c r="E992" s="41"/>
      <c r="F992" s="41"/>
      <c r="G992" s="41"/>
      <c r="H992" s="41"/>
      <c r="I992" s="41"/>
      <c r="J992" s="41"/>
      <c r="K992" s="41"/>
      <c r="L992" s="41"/>
    </row>
    <row r="993" spans="5:12" s="39" customFormat="1" x14ac:dyDescent="0.3">
      <c r="E993" s="41"/>
      <c r="F993" s="41"/>
      <c r="G993" s="41"/>
      <c r="H993" s="41"/>
      <c r="I993" s="41"/>
      <c r="J993" s="41"/>
      <c r="K993" s="41"/>
      <c r="L993" s="41"/>
    </row>
    <row r="994" spans="5:12" s="39" customFormat="1" x14ac:dyDescent="0.3">
      <c r="E994" s="41"/>
      <c r="F994" s="41"/>
      <c r="G994" s="41"/>
      <c r="H994" s="41"/>
      <c r="I994" s="41"/>
      <c r="J994" s="41"/>
      <c r="K994" s="41"/>
      <c r="L994" s="41"/>
    </row>
    <row r="995" spans="5:12" s="39" customFormat="1" x14ac:dyDescent="0.3">
      <c r="E995" s="41"/>
      <c r="F995" s="41"/>
      <c r="G995" s="41"/>
      <c r="H995" s="41"/>
      <c r="I995" s="41"/>
      <c r="J995" s="41"/>
      <c r="K995" s="41"/>
      <c r="L995" s="41"/>
    </row>
    <row r="996" spans="5:12" s="39" customFormat="1" x14ac:dyDescent="0.3">
      <c r="E996" s="41"/>
      <c r="F996" s="41"/>
      <c r="G996" s="41"/>
      <c r="H996" s="41"/>
      <c r="I996" s="41"/>
      <c r="J996" s="41"/>
      <c r="K996" s="41"/>
      <c r="L996" s="41"/>
    </row>
    <row r="997" spans="5:12" s="39" customFormat="1" x14ac:dyDescent="0.3">
      <c r="E997" s="41"/>
      <c r="F997" s="41"/>
      <c r="G997" s="41"/>
      <c r="H997" s="41"/>
      <c r="I997" s="41"/>
      <c r="J997" s="41"/>
      <c r="K997" s="41"/>
      <c r="L997" s="41"/>
    </row>
    <row r="998" spans="5:12" s="39" customFormat="1" x14ac:dyDescent="0.3">
      <c r="E998" s="41"/>
      <c r="F998" s="41"/>
      <c r="G998" s="41"/>
      <c r="H998" s="41"/>
      <c r="I998" s="41"/>
      <c r="J998" s="41"/>
      <c r="K998" s="41"/>
      <c r="L998" s="41"/>
    </row>
    <row r="999" spans="5:12" s="39" customFormat="1" x14ac:dyDescent="0.3">
      <c r="E999" s="41"/>
      <c r="F999" s="41"/>
      <c r="G999" s="41"/>
      <c r="H999" s="41"/>
      <c r="I999" s="41"/>
      <c r="J999" s="41"/>
      <c r="K999" s="41"/>
      <c r="L999" s="41"/>
    </row>
    <row r="1000" spans="5:12" s="39" customFormat="1" x14ac:dyDescent="0.3">
      <c r="E1000" s="41"/>
      <c r="F1000" s="41"/>
      <c r="G1000" s="41"/>
      <c r="H1000" s="41"/>
      <c r="I1000" s="41"/>
      <c r="J1000" s="41"/>
      <c r="K1000" s="41"/>
      <c r="L1000" s="41"/>
    </row>
    <row r="1001" spans="5:12" s="39" customFormat="1" x14ac:dyDescent="0.3">
      <c r="E1001" s="41"/>
      <c r="F1001" s="41"/>
      <c r="G1001" s="41"/>
      <c r="H1001" s="41"/>
      <c r="I1001" s="41"/>
      <c r="J1001" s="41"/>
      <c r="K1001" s="41"/>
      <c r="L1001" s="41"/>
    </row>
    <row r="1002" spans="5:12" s="39" customFormat="1" x14ac:dyDescent="0.3">
      <c r="E1002" s="41"/>
      <c r="F1002" s="41"/>
      <c r="G1002" s="41"/>
      <c r="H1002" s="41"/>
      <c r="I1002" s="41"/>
      <c r="J1002" s="41"/>
      <c r="K1002" s="41"/>
      <c r="L1002" s="41"/>
    </row>
    <row r="1003" spans="5:12" s="39" customFormat="1" x14ac:dyDescent="0.3">
      <c r="E1003" s="41"/>
      <c r="F1003" s="41"/>
      <c r="G1003" s="41"/>
      <c r="H1003" s="41"/>
      <c r="I1003" s="41"/>
      <c r="J1003" s="41"/>
      <c r="K1003" s="41"/>
      <c r="L1003" s="41"/>
    </row>
    <row r="1004" spans="5:12" s="39" customFormat="1" x14ac:dyDescent="0.3">
      <c r="E1004" s="41"/>
      <c r="F1004" s="41"/>
      <c r="G1004" s="41"/>
      <c r="H1004" s="41"/>
      <c r="I1004" s="41"/>
      <c r="J1004" s="41"/>
      <c r="K1004" s="41"/>
      <c r="L1004" s="41"/>
    </row>
    <row r="1005" spans="5:12" s="39" customFormat="1" x14ac:dyDescent="0.3">
      <c r="E1005" s="41"/>
      <c r="F1005" s="41"/>
      <c r="G1005" s="41"/>
      <c r="H1005" s="41"/>
      <c r="I1005" s="41"/>
      <c r="J1005" s="41"/>
      <c r="K1005" s="41"/>
      <c r="L1005" s="41"/>
    </row>
    <row r="1006" spans="5:12" s="39" customFormat="1" x14ac:dyDescent="0.3">
      <c r="E1006" s="41"/>
      <c r="F1006" s="41"/>
      <c r="G1006" s="41"/>
      <c r="H1006" s="41"/>
      <c r="I1006" s="41"/>
      <c r="J1006" s="41"/>
      <c r="K1006" s="41"/>
      <c r="L1006" s="41"/>
    </row>
    <row r="1007" spans="5:12" s="39" customFormat="1" x14ac:dyDescent="0.3">
      <c r="E1007" s="41"/>
      <c r="F1007" s="41"/>
      <c r="G1007" s="41"/>
      <c r="H1007" s="41"/>
      <c r="I1007" s="41"/>
      <c r="J1007" s="41"/>
      <c r="K1007" s="41"/>
      <c r="L1007" s="41"/>
    </row>
    <row r="1008" spans="5:12" s="39" customFormat="1" x14ac:dyDescent="0.3">
      <c r="E1008" s="41"/>
      <c r="F1008" s="41"/>
      <c r="G1008" s="41"/>
      <c r="H1008" s="41"/>
      <c r="I1008" s="41"/>
      <c r="J1008" s="41"/>
      <c r="K1008" s="41"/>
      <c r="L1008" s="41"/>
    </row>
    <row r="1009" spans="5:12" s="39" customFormat="1" x14ac:dyDescent="0.3">
      <c r="E1009" s="41"/>
      <c r="F1009" s="41"/>
      <c r="G1009" s="41"/>
      <c r="H1009" s="41"/>
      <c r="I1009" s="41"/>
      <c r="J1009" s="41"/>
      <c r="K1009" s="41"/>
      <c r="L1009" s="41"/>
    </row>
    <row r="1010" spans="5:12" s="39" customFormat="1" x14ac:dyDescent="0.3">
      <c r="E1010" s="41"/>
      <c r="F1010" s="41"/>
      <c r="G1010" s="41"/>
      <c r="H1010" s="41"/>
      <c r="I1010" s="41"/>
      <c r="J1010" s="41"/>
      <c r="K1010" s="41"/>
      <c r="L1010" s="41"/>
    </row>
    <row r="1011" spans="5:12" s="39" customFormat="1" x14ac:dyDescent="0.3">
      <c r="E1011" s="41"/>
      <c r="F1011" s="41"/>
      <c r="G1011" s="41"/>
      <c r="H1011" s="41"/>
      <c r="I1011" s="41"/>
      <c r="J1011" s="41"/>
      <c r="K1011" s="41"/>
      <c r="L1011" s="41"/>
    </row>
    <row r="1012" spans="5:12" s="39" customFormat="1" x14ac:dyDescent="0.3">
      <c r="E1012" s="41"/>
      <c r="F1012" s="41"/>
      <c r="G1012" s="41"/>
      <c r="H1012" s="41"/>
      <c r="I1012" s="41"/>
      <c r="J1012" s="41"/>
      <c r="K1012" s="41"/>
      <c r="L1012" s="41"/>
    </row>
    <row r="1013" spans="5:12" s="39" customFormat="1" x14ac:dyDescent="0.3">
      <c r="E1013" s="41"/>
      <c r="F1013" s="41"/>
      <c r="G1013" s="41"/>
      <c r="H1013" s="41"/>
      <c r="I1013" s="41"/>
      <c r="J1013" s="41"/>
      <c r="K1013" s="41"/>
      <c r="L1013" s="41"/>
    </row>
    <row r="1014" spans="5:12" s="39" customFormat="1" x14ac:dyDescent="0.3">
      <c r="E1014" s="41"/>
      <c r="F1014" s="41"/>
      <c r="G1014" s="41"/>
      <c r="H1014" s="41"/>
      <c r="I1014" s="41"/>
      <c r="J1014" s="41"/>
      <c r="K1014" s="41"/>
      <c r="L1014" s="41"/>
    </row>
    <row r="1015" spans="5:12" s="39" customFormat="1" x14ac:dyDescent="0.3">
      <c r="E1015" s="41"/>
      <c r="F1015" s="41"/>
      <c r="G1015" s="41"/>
      <c r="H1015" s="41"/>
      <c r="I1015" s="41"/>
      <c r="J1015" s="41"/>
      <c r="K1015" s="41"/>
      <c r="L1015" s="41"/>
    </row>
    <row r="1016" spans="5:12" s="39" customFormat="1" x14ac:dyDescent="0.3">
      <c r="E1016" s="41"/>
      <c r="F1016" s="41"/>
      <c r="G1016" s="41"/>
      <c r="H1016" s="41"/>
      <c r="I1016" s="41"/>
      <c r="J1016" s="41"/>
      <c r="K1016" s="41"/>
      <c r="L1016" s="41"/>
    </row>
    <row r="1017" spans="5:12" s="39" customFormat="1" x14ac:dyDescent="0.3">
      <c r="E1017" s="41"/>
      <c r="F1017" s="41"/>
      <c r="G1017" s="41"/>
      <c r="H1017" s="41"/>
      <c r="I1017" s="41"/>
      <c r="J1017" s="41"/>
      <c r="K1017" s="41"/>
      <c r="L1017" s="41"/>
    </row>
    <row r="1018" spans="5:12" s="39" customFormat="1" x14ac:dyDescent="0.3">
      <c r="E1018" s="41"/>
      <c r="F1018" s="41"/>
      <c r="G1018" s="41"/>
      <c r="H1018" s="41"/>
      <c r="I1018" s="41"/>
      <c r="J1018" s="41"/>
      <c r="K1018" s="41"/>
      <c r="L1018" s="41"/>
    </row>
    <row r="1019" spans="5:12" s="39" customFormat="1" x14ac:dyDescent="0.3">
      <c r="E1019" s="41"/>
      <c r="F1019" s="41"/>
      <c r="G1019" s="41"/>
      <c r="H1019" s="41"/>
      <c r="I1019" s="41"/>
      <c r="J1019" s="41"/>
      <c r="K1019" s="41"/>
      <c r="L1019" s="41"/>
    </row>
    <row r="1020" spans="5:12" s="39" customFormat="1" x14ac:dyDescent="0.3">
      <c r="E1020" s="41"/>
      <c r="F1020" s="41"/>
      <c r="G1020" s="41"/>
      <c r="H1020" s="41"/>
      <c r="I1020" s="41"/>
      <c r="J1020" s="41"/>
      <c r="K1020" s="41"/>
      <c r="L1020" s="41"/>
    </row>
    <row r="1021" spans="5:12" s="39" customFormat="1" x14ac:dyDescent="0.3">
      <c r="E1021" s="41"/>
      <c r="F1021" s="41"/>
      <c r="G1021" s="41"/>
      <c r="H1021" s="41"/>
      <c r="I1021" s="41"/>
      <c r="J1021" s="41"/>
      <c r="K1021" s="41"/>
      <c r="L1021" s="41"/>
    </row>
    <row r="1022" spans="5:12" s="39" customFormat="1" x14ac:dyDescent="0.3">
      <c r="E1022" s="41"/>
      <c r="F1022" s="41"/>
      <c r="G1022" s="41"/>
      <c r="H1022" s="41"/>
      <c r="I1022" s="41"/>
      <c r="J1022" s="41"/>
      <c r="K1022" s="41"/>
      <c r="L1022" s="41"/>
    </row>
    <row r="1023" spans="5:12" s="39" customFormat="1" x14ac:dyDescent="0.3">
      <c r="E1023" s="41"/>
      <c r="F1023" s="41"/>
      <c r="G1023" s="41"/>
      <c r="H1023" s="41"/>
      <c r="I1023" s="41"/>
      <c r="J1023" s="41"/>
      <c r="K1023" s="41"/>
      <c r="L1023" s="41"/>
    </row>
    <row r="1024" spans="5:12" s="39" customFormat="1" x14ac:dyDescent="0.3">
      <c r="E1024" s="41"/>
      <c r="F1024" s="41"/>
      <c r="G1024" s="41"/>
      <c r="H1024" s="41"/>
      <c r="I1024" s="41"/>
      <c r="J1024" s="41"/>
      <c r="K1024" s="41"/>
      <c r="L1024" s="41"/>
    </row>
    <row r="1025" spans="5:12" s="39" customFormat="1" x14ac:dyDescent="0.3">
      <c r="E1025" s="41"/>
      <c r="F1025" s="41"/>
      <c r="G1025" s="41"/>
      <c r="H1025" s="41"/>
      <c r="I1025" s="41"/>
      <c r="J1025" s="41"/>
      <c r="K1025" s="41"/>
      <c r="L1025" s="41"/>
    </row>
    <row r="1026" spans="5:12" s="39" customFormat="1" x14ac:dyDescent="0.3">
      <c r="E1026" s="41"/>
      <c r="F1026" s="41"/>
      <c r="G1026" s="41"/>
      <c r="H1026" s="41"/>
      <c r="I1026" s="41"/>
      <c r="J1026" s="41"/>
      <c r="K1026" s="41"/>
      <c r="L1026" s="41"/>
    </row>
    <row r="1027" spans="5:12" s="39" customFormat="1" x14ac:dyDescent="0.3">
      <c r="E1027" s="41"/>
      <c r="F1027" s="41"/>
      <c r="G1027" s="41"/>
      <c r="H1027" s="41"/>
      <c r="I1027" s="41"/>
      <c r="J1027" s="41"/>
      <c r="K1027" s="41"/>
      <c r="L1027" s="41"/>
    </row>
    <row r="1028" spans="5:12" s="39" customFormat="1" x14ac:dyDescent="0.3">
      <c r="E1028" s="41"/>
      <c r="F1028" s="41"/>
      <c r="G1028" s="41"/>
      <c r="H1028" s="41"/>
      <c r="I1028" s="41"/>
      <c r="J1028" s="41"/>
      <c r="K1028" s="41"/>
      <c r="L1028" s="41"/>
    </row>
    <row r="1029" spans="5:12" s="39" customFormat="1" x14ac:dyDescent="0.3">
      <c r="E1029" s="41"/>
      <c r="F1029" s="41"/>
      <c r="G1029" s="41"/>
      <c r="H1029" s="41"/>
      <c r="I1029" s="41"/>
      <c r="J1029" s="41"/>
      <c r="K1029" s="41"/>
      <c r="L1029" s="41"/>
    </row>
    <row r="1030" spans="5:12" s="39" customFormat="1" x14ac:dyDescent="0.3">
      <c r="E1030" s="41"/>
      <c r="F1030" s="41"/>
      <c r="G1030" s="41"/>
      <c r="H1030" s="41"/>
      <c r="I1030" s="41"/>
      <c r="J1030" s="41"/>
      <c r="K1030" s="41"/>
      <c r="L1030" s="41"/>
    </row>
    <row r="1031" spans="5:12" s="39" customFormat="1" x14ac:dyDescent="0.3">
      <c r="E1031" s="41"/>
      <c r="F1031" s="41"/>
      <c r="G1031" s="41"/>
      <c r="H1031" s="41"/>
      <c r="I1031" s="41"/>
      <c r="J1031" s="41"/>
      <c r="K1031" s="41"/>
      <c r="L1031" s="41"/>
    </row>
    <row r="1032" spans="5:12" s="39" customFormat="1" x14ac:dyDescent="0.3">
      <c r="E1032" s="41"/>
      <c r="F1032" s="41"/>
      <c r="G1032" s="41"/>
      <c r="H1032" s="41"/>
      <c r="I1032" s="41"/>
      <c r="J1032" s="41"/>
      <c r="K1032" s="41"/>
      <c r="L1032" s="41"/>
    </row>
    <row r="1033" spans="5:12" s="39" customFormat="1" x14ac:dyDescent="0.3">
      <c r="E1033" s="41"/>
      <c r="F1033" s="41"/>
      <c r="G1033" s="41"/>
      <c r="H1033" s="41"/>
      <c r="I1033" s="41"/>
      <c r="J1033" s="41"/>
      <c r="K1033" s="41"/>
      <c r="L1033" s="41"/>
    </row>
    <row r="1034" spans="5:12" s="39" customFormat="1" x14ac:dyDescent="0.3">
      <c r="E1034" s="41"/>
      <c r="F1034" s="41"/>
      <c r="G1034" s="41"/>
      <c r="H1034" s="41"/>
      <c r="I1034" s="41"/>
      <c r="J1034" s="41"/>
      <c r="K1034" s="41"/>
      <c r="L1034" s="41"/>
    </row>
    <row r="1035" spans="5:12" s="39" customFormat="1" x14ac:dyDescent="0.3">
      <c r="E1035" s="41"/>
      <c r="F1035" s="41"/>
      <c r="G1035" s="41"/>
      <c r="H1035" s="41"/>
      <c r="I1035" s="41"/>
      <c r="J1035" s="41"/>
      <c r="K1035" s="41"/>
      <c r="L1035" s="41"/>
    </row>
    <row r="1036" spans="5:12" s="39" customFormat="1" x14ac:dyDescent="0.3">
      <c r="E1036" s="41"/>
      <c r="F1036" s="41"/>
      <c r="G1036" s="41"/>
      <c r="H1036" s="41"/>
      <c r="I1036" s="41"/>
      <c r="J1036" s="41"/>
      <c r="K1036" s="41"/>
      <c r="L1036" s="41"/>
    </row>
    <row r="1037" spans="5:12" s="39" customFormat="1" x14ac:dyDescent="0.3">
      <c r="E1037" s="41"/>
      <c r="F1037" s="41"/>
      <c r="G1037" s="41"/>
      <c r="H1037" s="41"/>
      <c r="I1037" s="41"/>
      <c r="J1037" s="41"/>
      <c r="K1037" s="41"/>
      <c r="L1037" s="41"/>
    </row>
    <row r="1038" spans="5:12" s="39" customFormat="1" x14ac:dyDescent="0.3">
      <c r="E1038" s="41"/>
      <c r="F1038" s="41"/>
      <c r="G1038" s="41"/>
      <c r="H1038" s="41"/>
      <c r="I1038" s="41"/>
      <c r="J1038" s="41"/>
      <c r="K1038" s="41"/>
      <c r="L1038" s="41"/>
    </row>
    <row r="1039" spans="5:12" s="39" customFormat="1" x14ac:dyDescent="0.3">
      <c r="E1039" s="41"/>
      <c r="F1039" s="41"/>
      <c r="G1039" s="41"/>
      <c r="H1039" s="41"/>
      <c r="I1039" s="41"/>
      <c r="J1039" s="41"/>
      <c r="K1039" s="41"/>
      <c r="L1039" s="41"/>
    </row>
    <row r="1040" spans="5:12" s="39" customFormat="1" x14ac:dyDescent="0.3">
      <c r="E1040" s="41"/>
      <c r="F1040" s="41"/>
      <c r="G1040" s="41"/>
      <c r="H1040" s="41"/>
      <c r="I1040" s="41"/>
      <c r="J1040" s="41"/>
      <c r="K1040" s="41"/>
      <c r="L1040" s="41"/>
    </row>
    <row r="1041" spans="5:12" s="39" customFormat="1" x14ac:dyDescent="0.3">
      <c r="E1041" s="41"/>
      <c r="F1041" s="41"/>
      <c r="G1041" s="41"/>
      <c r="H1041" s="41"/>
      <c r="I1041" s="41"/>
      <c r="J1041" s="41"/>
      <c r="K1041" s="41"/>
      <c r="L1041" s="41"/>
    </row>
    <row r="1042" spans="5:12" s="39" customFormat="1" x14ac:dyDescent="0.3">
      <c r="E1042" s="41"/>
      <c r="F1042" s="41"/>
      <c r="G1042" s="41"/>
      <c r="H1042" s="41"/>
      <c r="I1042" s="41"/>
      <c r="J1042" s="41"/>
      <c r="K1042" s="41"/>
      <c r="L1042" s="41"/>
    </row>
    <row r="1043" spans="5:12" s="39" customFormat="1" x14ac:dyDescent="0.3">
      <c r="E1043" s="41"/>
      <c r="F1043" s="41"/>
      <c r="G1043" s="41"/>
      <c r="H1043" s="41"/>
      <c r="I1043" s="41"/>
      <c r="J1043" s="41"/>
      <c r="K1043" s="41"/>
      <c r="L1043" s="41"/>
    </row>
    <row r="1044" spans="5:12" s="39" customFormat="1" x14ac:dyDescent="0.3">
      <c r="E1044" s="41"/>
      <c r="F1044" s="41"/>
      <c r="G1044" s="41"/>
      <c r="H1044" s="41"/>
      <c r="I1044" s="41"/>
      <c r="J1044" s="41"/>
      <c r="K1044" s="41"/>
      <c r="L1044" s="41"/>
    </row>
    <row r="1045" spans="5:12" s="39" customFormat="1" x14ac:dyDescent="0.3">
      <c r="E1045" s="41"/>
      <c r="F1045" s="41"/>
      <c r="G1045" s="41"/>
      <c r="H1045" s="41"/>
      <c r="I1045" s="41"/>
      <c r="J1045" s="41"/>
      <c r="K1045" s="41"/>
      <c r="L1045" s="41"/>
    </row>
    <row r="1046" spans="5:12" s="39" customFormat="1" x14ac:dyDescent="0.3">
      <c r="E1046" s="41"/>
      <c r="F1046" s="41"/>
      <c r="G1046" s="41"/>
      <c r="H1046" s="41"/>
      <c r="I1046" s="41"/>
      <c r="J1046" s="41"/>
      <c r="K1046" s="41"/>
      <c r="L1046" s="41"/>
    </row>
    <row r="1047" spans="5:12" s="39" customFormat="1" x14ac:dyDescent="0.3">
      <c r="E1047" s="41"/>
      <c r="F1047" s="41"/>
      <c r="G1047" s="41"/>
      <c r="H1047" s="41"/>
      <c r="I1047" s="41"/>
      <c r="J1047" s="41"/>
      <c r="K1047" s="41"/>
      <c r="L1047" s="41"/>
    </row>
    <row r="1048" spans="5:12" s="39" customFormat="1" x14ac:dyDescent="0.3">
      <c r="E1048" s="41"/>
      <c r="F1048" s="41"/>
      <c r="G1048" s="41"/>
      <c r="H1048" s="41"/>
      <c r="I1048" s="41"/>
      <c r="J1048" s="41"/>
      <c r="K1048" s="41"/>
      <c r="L1048" s="41"/>
    </row>
    <row r="1049" spans="5:12" s="39" customFormat="1" x14ac:dyDescent="0.3">
      <c r="E1049" s="41"/>
      <c r="F1049" s="41"/>
      <c r="G1049" s="41"/>
      <c r="H1049" s="41"/>
      <c r="I1049" s="41"/>
      <c r="J1049" s="41"/>
      <c r="K1049" s="41"/>
      <c r="L1049" s="41"/>
    </row>
    <row r="1050" spans="5:12" s="39" customFormat="1" x14ac:dyDescent="0.3">
      <c r="E1050" s="41"/>
      <c r="F1050" s="41"/>
      <c r="G1050" s="41"/>
      <c r="H1050" s="41"/>
      <c r="I1050" s="41"/>
      <c r="J1050" s="41"/>
      <c r="K1050" s="41"/>
      <c r="L1050" s="41"/>
    </row>
    <row r="1051" spans="5:12" s="39" customFormat="1" x14ac:dyDescent="0.3">
      <c r="E1051" s="41"/>
      <c r="F1051" s="41"/>
      <c r="G1051" s="41"/>
      <c r="H1051" s="41"/>
      <c r="I1051" s="41"/>
      <c r="J1051" s="41"/>
      <c r="K1051" s="41"/>
      <c r="L1051" s="41"/>
    </row>
    <row r="1052" spans="5:12" s="39" customFormat="1" x14ac:dyDescent="0.3">
      <c r="E1052" s="41"/>
      <c r="F1052" s="41"/>
      <c r="G1052" s="41"/>
      <c r="H1052" s="41"/>
      <c r="I1052" s="41"/>
      <c r="J1052" s="41"/>
      <c r="K1052" s="41"/>
      <c r="L1052" s="41"/>
    </row>
    <row r="1053" spans="5:12" s="39" customFormat="1" x14ac:dyDescent="0.3">
      <c r="E1053" s="41"/>
      <c r="F1053" s="41"/>
      <c r="G1053" s="41"/>
      <c r="H1053" s="41"/>
      <c r="I1053" s="41"/>
      <c r="J1053" s="41"/>
      <c r="K1053" s="41"/>
      <c r="L1053" s="41"/>
    </row>
    <row r="1054" spans="5:12" s="39" customFormat="1" x14ac:dyDescent="0.3">
      <c r="E1054" s="41"/>
      <c r="F1054" s="41"/>
      <c r="G1054" s="41"/>
      <c r="H1054" s="41"/>
      <c r="I1054" s="41"/>
      <c r="J1054" s="41"/>
      <c r="K1054" s="41"/>
      <c r="L1054" s="41"/>
    </row>
    <row r="1055" spans="5:12" s="39" customFormat="1" x14ac:dyDescent="0.3">
      <c r="E1055" s="41"/>
      <c r="F1055" s="41"/>
      <c r="G1055" s="41"/>
      <c r="H1055" s="41"/>
      <c r="I1055" s="41"/>
      <c r="J1055" s="41"/>
      <c r="K1055" s="41"/>
      <c r="L1055" s="41"/>
    </row>
    <row r="1056" spans="5:12" s="39" customFormat="1" x14ac:dyDescent="0.3">
      <c r="E1056" s="41"/>
      <c r="F1056" s="41"/>
      <c r="G1056" s="41"/>
      <c r="H1056" s="41"/>
      <c r="I1056" s="41"/>
      <c r="J1056" s="41"/>
      <c r="K1056" s="41"/>
      <c r="L1056" s="41"/>
    </row>
    <row r="1057" spans="5:12" s="39" customFormat="1" x14ac:dyDescent="0.3">
      <c r="E1057" s="41"/>
      <c r="F1057" s="41"/>
      <c r="G1057" s="41"/>
      <c r="H1057" s="41"/>
      <c r="I1057" s="41"/>
      <c r="J1057" s="41"/>
      <c r="K1057" s="41"/>
      <c r="L1057" s="41"/>
    </row>
    <row r="1058" spans="5:12" s="39" customFormat="1" x14ac:dyDescent="0.3">
      <c r="E1058" s="41"/>
      <c r="F1058" s="41"/>
      <c r="G1058" s="41"/>
      <c r="H1058" s="41"/>
      <c r="I1058" s="41"/>
      <c r="J1058" s="41"/>
      <c r="K1058" s="41"/>
      <c r="L1058" s="41"/>
    </row>
    <row r="1059" spans="5:12" s="39" customFormat="1" x14ac:dyDescent="0.3">
      <c r="E1059" s="41"/>
      <c r="F1059" s="41"/>
      <c r="G1059" s="41"/>
      <c r="H1059" s="41"/>
      <c r="I1059" s="41"/>
      <c r="J1059" s="41"/>
      <c r="K1059" s="41"/>
      <c r="L1059" s="41"/>
    </row>
    <row r="1060" spans="5:12" s="39" customFormat="1" x14ac:dyDescent="0.3">
      <c r="E1060" s="41"/>
      <c r="F1060" s="41"/>
      <c r="G1060" s="41"/>
      <c r="H1060" s="41"/>
      <c r="I1060" s="41"/>
      <c r="J1060" s="41"/>
      <c r="K1060" s="41"/>
      <c r="L1060" s="41"/>
    </row>
    <row r="1061" spans="5:12" s="39" customFormat="1" x14ac:dyDescent="0.3">
      <c r="E1061" s="41"/>
      <c r="F1061" s="41"/>
      <c r="G1061" s="41"/>
      <c r="H1061" s="41"/>
      <c r="I1061" s="41"/>
      <c r="J1061" s="41"/>
      <c r="K1061" s="41"/>
      <c r="L1061" s="41"/>
    </row>
    <row r="1062" spans="5:12" s="39" customFormat="1" x14ac:dyDescent="0.3">
      <c r="E1062" s="41"/>
      <c r="F1062" s="41"/>
      <c r="G1062" s="41"/>
      <c r="H1062" s="41"/>
      <c r="I1062" s="41"/>
      <c r="J1062" s="41"/>
      <c r="K1062" s="41"/>
      <c r="L1062" s="41"/>
    </row>
    <row r="1063" spans="5:12" s="39" customFormat="1" x14ac:dyDescent="0.3">
      <c r="E1063" s="41"/>
      <c r="F1063" s="41"/>
      <c r="G1063" s="41"/>
      <c r="H1063" s="41"/>
      <c r="I1063" s="41"/>
      <c r="J1063" s="41"/>
      <c r="K1063" s="41"/>
      <c r="L1063" s="41"/>
    </row>
    <row r="1064" spans="5:12" s="39" customFormat="1" x14ac:dyDescent="0.3">
      <c r="E1064" s="41"/>
      <c r="F1064" s="41"/>
      <c r="G1064" s="41"/>
      <c r="H1064" s="41"/>
      <c r="I1064" s="41"/>
      <c r="J1064" s="41"/>
      <c r="K1064" s="41"/>
      <c r="L1064" s="41"/>
    </row>
    <row r="1065" spans="5:12" s="39" customFormat="1" x14ac:dyDescent="0.3">
      <c r="E1065" s="41"/>
      <c r="F1065" s="41"/>
      <c r="G1065" s="41"/>
      <c r="H1065" s="41"/>
      <c r="I1065" s="41"/>
      <c r="J1065" s="41"/>
      <c r="K1065" s="41"/>
      <c r="L1065" s="41"/>
    </row>
    <row r="1066" spans="5:12" s="39" customFormat="1" x14ac:dyDescent="0.3">
      <c r="E1066" s="41"/>
      <c r="F1066" s="41"/>
      <c r="G1066" s="41"/>
      <c r="H1066" s="41"/>
      <c r="I1066" s="41"/>
      <c r="J1066" s="41"/>
      <c r="K1066" s="41"/>
      <c r="L1066" s="41"/>
    </row>
    <row r="1067" spans="5:12" s="39" customFormat="1" x14ac:dyDescent="0.3">
      <c r="E1067" s="41"/>
      <c r="F1067" s="41"/>
      <c r="G1067" s="41"/>
      <c r="H1067" s="41"/>
      <c r="I1067" s="41"/>
      <c r="J1067" s="41"/>
      <c r="K1067" s="41"/>
      <c r="L1067" s="41"/>
    </row>
    <row r="1068" spans="5:12" s="39" customFormat="1" x14ac:dyDescent="0.3">
      <c r="E1068" s="41"/>
      <c r="F1068" s="41"/>
      <c r="G1068" s="41"/>
      <c r="H1068" s="41"/>
      <c r="I1068" s="41"/>
      <c r="J1068" s="41"/>
      <c r="K1068" s="41"/>
      <c r="L1068" s="41"/>
    </row>
    <row r="1069" spans="5:12" s="39" customFormat="1" x14ac:dyDescent="0.3">
      <c r="E1069" s="41"/>
      <c r="F1069" s="41"/>
      <c r="G1069" s="41"/>
      <c r="H1069" s="41"/>
      <c r="I1069" s="41"/>
      <c r="J1069" s="41"/>
      <c r="K1069" s="41"/>
      <c r="L1069" s="41"/>
    </row>
    <row r="1070" spans="5:12" s="39" customFormat="1" x14ac:dyDescent="0.3">
      <c r="E1070" s="41"/>
      <c r="F1070" s="41"/>
      <c r="G1070" s="41"/>
      <c r="H1070" s="41"/>
      <c r="I1070" s="41"/>
      <c r="J1070" s="41"/>
      <c r="K1070" s="41"/>
      <c r="L1070" s="41"/>
    </row>
    <row r="1071" spans="5:12" s="39" customFormat="1" x14ac:dyDescent="0.3">
      <c r="E1071" s="41"/>
      <c r="F1071" s="41"/>
      <c r="G1071" s="41"/>
      <c r="H1071" s="41"/>
      <c r="I1071" s="41"/>
      <c r="J1071" s="41"/>
      <c r="K1071" s="41"/>
      <c r="L1071" s="41"/>
    </row>
    <row r="1072" spans="5:12" s="39" customFormat="1" x14ac:dyDescent="0.3">
      <c r="E1072" s="41"/>
      <c r="F1072" s="41"/>
      <c r="G1072" s="41"/>
      <c r="H1072" s="41"/>
      <c r="I1072" s="41"/>
      <c r="J1072" s="41"/>
      <c r="K1072" s="41"/>
      <c r="L1072" s="41"/>
    </row>
    <row r="1073" spans="5:12" s="39" customFormat="1" x14ac:dyDescent="0.3">
      <c r="E1073" s="41"/>
      <c r="F1073" s="41"/>
      <c r="G1073" s="41"/>
      <c r="H1073" s="41"/>
      <c r="I1073" s="41"/>
      <c r="J1073" s="41"/>
      <c r="K1073" s="41"/>
      <c r="L1073" s="41"/>
    </row>
    <row r="1074" spans="5:12" s="39" customFormat="1" x14ac:dyDescent="0.3">
      <c r="E1074" s="41"/>
      <c r="F1074" s="41"/>
      <c r="G1074" s="41"/>
      <c r="H1074" s="41"/>
      <c r="I1074" s="41"/>
      <c r="J1074" s="41"/>
      <c r="K1074" s="41"/>
      <c r="L1074" s="41"/>
    </row>
    <row r="1075" spans="5:12" s="39" customFormat="1" x14ac:dyDescent="0.3">
      <c r="E1075" s="41"/>
      <c r="F1075" s="41"/>
      <c r="G1075" s="41"/>
      <c r="H1075" s="41"/>
      <c r="I1075" s="41"/>
      <c r="J1075" s="41"/>
      <c r="K1075" s="41"/>
      <c r="L1075" s="41"/>
    </row>
    <row r="1076" spans="5:12" s="39" customFormat="1" x14ac:dyDescent="0.3">
      <c r="E1076" s="41"/>
      <c r="F1076" s="41"/>
      <c r="G1076" s="41"/>
      <c r="H1076" s="41"/>
      <c r="I1076" s="41"/>
      <c r="J1076" s="41"/>
      <c r="K1076" s="41"/>
      <c r="L1076" s="41"/>
    </row>
    <row r="1077" spans="5:12" s="39" customFormat="1" x14ac:dyDescent="0.3">
      <c r="E1077" s="41"/>
      <c r="F1077" s="41"/>
      <c r="G1077" s="41"/>
      <c r="H1077" s="41"/>
      <c r="I1077" s="41"/>
      <c r="J1077" s="41"/>
      <c r="K1077" s="41"/>
      <c r="L1077" s="41"/>
    </row>
    <row r="1078" spans="5:12" s="39" customFormat="1" x14ac:dyDescent="0.3">
      <c r="E1078" s="41"/>
      <c r="F1078" s="41"/>
      <c r="G1078" s="41"/>
      <c r="H1078" s="41"/>
      <c r="I1078" s="41"/>
      <c r="J1078" s="41"/>
      <c r="K1078" s="41"/>
      <c r="L1078" s="41"/>
    </row>
    <row r="1079" spans="5:12" s="39" customFormat="1" x14ac:dyDescent="0.3">
      <c r="E1079" s="41"/>
      <c r="F1079" s="41"/>
      <c r="G1079" s="41"/>
      <c r="H1079" s="41"/>
      <c r="I1079" s="41"/>
      <c r="J1079" s="41"/>
      <c r="K1079" s="41"/>
      <c r="L1079" s="41"/>
    </row>
    <row r="1080" spans="5:12" s="39" customFormat="1" x14ac:dyDescent="0.3">
      <c r="E1080" s="41"/>
      <c r="F1080" s="41"/>
      <c r="G1080" s="41"/>
      <c r="H1080" s="41"/>
      <c r="I1080" s="41"/>
      <c r="J1080" s="41"/>
      <c r="K1080" s="41"/>
      <c r="L1080" s="41"/>
    </row>
    <row r="1081" spans="5:12" s="39" customFormat="1" x14ac:dyDescent="0.3">
      <c r="E1081" s="41"/>
      <c r="F1081" s="41"/>
      <c r="G1081" s="41"/>
      <c r="H1081" s="41"/>
      <c r="I1081" s="41"/>
      <c r="J1081" s="41"/>
      <c r="K1081" s="41"/>
      <c r="L1081" s="41"/>
    </row>
    <row r="1082" spans="5:12" s="39" customFormat="1" x14ac:dyDescent="0.3">
      <c r="E1082" s="41"/>
      <c r="F1082" s="41"/>
      <c r="G1082" s="41"/>
      <c r="H1082" s="41"/>
      <c r="I1082" s="41"/>
      <c r="J1082" s="41"/>
      <c r="K1082" s="41"/>
      <c r="L1082" s="41"/>
    </row>
    <row r="1083" spans="5:12" s="39" customFormat="1" x14ac:dyDescent="0.3">
      <c r="E1083" s="41"/>
      <c r="F1083" s="41"/>
      <c r="G1083" s="41"/>
      <c r="H1083" s="41"/>
      <c r="I1083" s="41"/>
      <c r="J1083" s="41"/>
      <c r="K1083" s="41"/>
      <c r="L1083" s="41"/>
    </row>
    <row r="1084" spans="5:12" s="39" customFormat="1" x14ac:dyDescent="0.3">
      <c r="E1084" s="41"/>
      <c r="F1084" s="41"/>
      <c r="G1084" s="41"/>
      <c r="H1084" s="41"/>
      <c r="I1084" s="41"/>
      <c r="J1084" s="41"/>
      <c r="K1084" s="41"/>
      <c r="L1084" s="41"/>
    </row>
    <row r="1085" spans="5:12" s="39" customFormat="1" x14ac:dyDescent="0.3">
      <c r="E1085" s="41"/>
      <c r="F1085" s="41"/>
      <c r="G1085" s="41"/>
      <c r="H1085" s="41"/>
      <c r="I1085" s="41"/>
      <c r="J1085" s="41"/>
      <c r="K1085" s="41"/>
      <c r="L1085" s="41"/>
    </row>
    <row r="1086" spans="5:12" s="39" customFormat="1" x14ac:dyDescent="0.3">
      <c r="E1086" s="41"/>
      <c r="F1086" s="41"/>
      <c r="G1086" s="41"/>
      <c r="H1086" s="41"/>
      <c r="I1086" s="41"/>
      <c r="J1086" s="41"/>
      <c r="K1086" s="41"/>
      <c r="L1086" s="41"/>
    </row>
    <row r="1087" spans="5:12" s="39" customFormat="1" x14ac:dyDescent="0.3">
      <c r="E1087" s="41"/>
      <c r="F1087" s="41"/>
      <c r="G1087" s="41"/>
      <c r="H1087" s="41"/>
      <c r="I1087" s="41"/>
      <c r="J1087" s="41"/>
      <c r="K1087" s="41"/>
      <c r="L1087" s="41"/>
    </row>
    <row r="1088" spans="5:12" s="39" customFormat="1" x14ac:dyDescent="0.3">
      <c r="E1088" s="41"/>
      <c r="F1088" s="41"/>
      <c r="G1088" s="41"/>
      <c r="H1088" s="41"/>
      <c r="I1088" s="41"/>
      <c r="J1088" s="41"/>
      <c r="K1088" s="41"/>
      <c r="L1088" s="41"/>
    </row>
    <row r="1089" spans="5:12" s="39" customFormat="1" x14ac:dyDescent="0.3">
      <c r="E1089" s="41"/>
      <c r="F1089" s="41"/>
      <c r="G1089" s="41"/>
      <c r="H1089" s="41"/>
      <c r="I1089" s="41"/>
      <c r="J1089" s="41"/>
      <c r="K1089" s="41"/>
      <c r="L1089" s="41"/>
    </row>
    <row r="1090" spans="5:12" s="39" customFormat="1" x14ac:dyDescent="0.3">
      <c r="E1090" s="41"/>
      <c r="F1090" s="41"/>
      <c r="G1090" s="41"/>
      <c r="H1090" s="41"/>
      <c r="I1090" s="41"/>
      <c r="J1090" s="41"/>
      <c r="K1090" s="41"/>
      <c r="L1090" s="41"/>
    </row>
    <row r="1091" spans="5:12" s="39" customFormat="1" x14ac:dyDescent="0.3">
      <c r="E1091" s="41"/>
      <c r="F1091" s="41"/>
      <c r="G1091" s="41"/>
      <c r="H1091" s="41"/>
      <c r="I1091" s="41"/>
      <c r="J1091" s="41"/>
      <c r="K1091" s="41"/>
      <c r="L1091" s="41"/>
    </row>
    <row r="1092" spans="5:12" s="39" customFormat="1" x14ac:dyDescent="0.3">
      <c r="E1092" s="41"/>
      <c r="F1092" s="41"/>
      <c r="G1092" s="41"/>
      <c r="H1092" s="41"/>
      <c r="I1092" s="41"/>
      <c r="J1092" s="41"/>
      <c r="K1092" s="41"/>
      <c r="L1092" s="41"/>
    </row>
    <row r="1093" spans="5:12" s="39" customFormat="1" x14ac:dyDescent="0.3">
      <c r="E1093" s="41"/>
      <c r="F1093" s="41"/>
      <c r="G1093" s="41"/>
      <c r="H1093" s="41"/>
      <c r="I1093" s="41"/>
      <c r="J1093" s="41"/>
      <c r="K1093" s="41"/>
      <c r="L1093" s="41"/>
    </row>
    <row r="1094" spans="5:12" s="39" customFormat="1" x14ac:dyDescent="0.3">
      <c r="E1094" s="41"/>
      <c r="F1094" s="41"/>
      <c r="G1094" s="41"/>
      <c r="H1094" s="41"/>
      <c r="I1094" s="41"/>
      <c r="J1094" s="41"/>
      <c r="K1094" s="41"/>
      <c r="L1094" s="41"/>
    </row>
    <row r="1095" spans="5:12" s="39" customFormat="1" x14ac:dyDescent="0.3">
      <c r="E1095" s="41"/>
      <c r="F1095" s="41"/>
      <c r="G1095" s="41"/>
      <c r="H1095" s="41"/>
      <c r="I1095" s="41"/>
      <c r="J1095" s="41"/>
      <c r="K1095" s="41"/>
      <c r="L1095" s="41"/>
    </row>
    <row r="1096" spans="5:12" s="39" customFormat="1" x14ac:dyDescent="0.3">
      <c r="E1096" s="41"/>
      <c r="F1096" s="41"/>
      <c r="G1096" s="41"/>
      <c r="H1096" s="41"/>
      <c r="I1096" s="41"/>
      <c r="J1096" s="41"/>
      <c r="K1096" s="41"/>
      <c r="L1096" s="41"/>
    </row>
    <row r="1097" spans="5:12" s="39" customFormat="1" x14ac:dyDescent="0.3">
      <c r="E1097" s="41"/>
      <c r="F1097" s="41"/>
      <c r="G1097" s="41"/>
      <c r="H1097" s="41"/>
      <c r="I1097" s="41"/>
      <c r="J1097" s="41"/>
      <c r="K1097" s="41"/>
      <c r="L1097" s="41"/>
    </row>
    <row r="1098" spans="5:12" s="39" customFormat="1" x14ac:dyDescent="0.3">
      <c r="E1098" s="41"/>
      <c r="F1098" s="41"/>
      <c r="G1098" s="41"/>
      <c r="H1098" s="41"/>
      <c r="I1098" s="41"/>
      <c r="J1098" s="41"/>
      <c r="K1098" s="41"/>
      <c r="L1098" s="41"/>
    </row>
    <row r="1099" spans="5:12" s="39" customFormat="1" x14ac:dyDescent="0.3">
      <c r="E1099" s="41"/>
      <c r="F1099" s="41"/>
      <c r="G1099" s="41"/>
      <c r="H1099" s="41"/>
      <c r="I1099" s="41"/>
      <c r="J1099" s="41"/>
      <c r="K1099" s="41"/>
      <c r="L1099" s="41"/>
    </row>
    <row r="1100" spans="5:12" s="39" customFormat="1" x14ac:dyDescent="0.3">
      <c r="E1100" s="41"/>
      <c r="F1100" s="41"/>
      <c r="G1100" s="41"/>
      <c r="H1100" s="41"/>
      <c r="I1100" s="41"/>
      <c r="J1100" s="41"/>
      <c r="K1100" s="41"/>
      <c r="L1100" s="41"/>
    </row>
    <row r="1101" spans="5:12" s="39" customFormat="1" x14ac:dyDescent="0.3">
      <c r="E1101" s="41"/>
      <c r="F1101" s="41"/>
      <c r="G1101" s="41"/>
      <c r="H1101" s="41"/>
      <c r="I1101" s="41"/>
      <c r="J1101" s="41"/>
      <c r="K1101" s="41"/>
      <c r="L1101" s="41"/>
    </row>
    <row r="1102" spans="5:12" s="39" customFormat="1" x14ac:dyDescent="0.3">
      <c r="E1102" s="41"/>
      <c r="F1102" s="41"/>
      <c r="G1102" s="41"/>
      <c r="H1102" s="41"/>
      <c r="I1102" s="41"/>
      <c r="J1102" s="41"/>
      <c r="K1102" s="41"/>
      <c r="L1102" s="41"/>
    </row>
    <row r="1103" spans="5:12" s="39" customFormat="1" x14ac:dyDescent="0.3">
      <c r="E1103" s="41"/>
      <c r="F1103" s="41"/>
      <c r="G1103" s="41"/>
      <c r="H1103" s="41"/>
      <c r="I1103" s="41"/>
      <c r="J1103" s="41"/>
      <c r="K1103" s="41"/>
      <c r="L1103" s="41"/>
    </row>
    <row r="1104" spans="5:12" s="39" customFormat="1" x14ac:dyDescent="0.3">
      <c r="E1104" s="41"/>
      <c r="F1104" s="41"/>
      <c r="G1104" s="41"/>
      <c r="H1104" s="41"/>
      <c r="I1104" s="41"/>
      <c r="J1104" s="41"/>
      <c r="K1104" s="41"/>
      <c r="L1104" s="41"/>
    </row>
    <row r="1105" spans="5:12" s="39" customFormat="1" x14ac:dyDescent="0.3">
      <c r="E1105" s="41"/>
      <c r="F1105" s="41"/>
      <c r="G1105" s="41"/>
      <c r="H1105" s="41"/>
      <c r="I1105" s="41"/>
      <c r="J1105" s="41"/>
      <c r="K1105" s="41"/>
      <c r="L1105" s="41"/>
    </row>
    <row r="1106" spans="5:12" s="39" customFormat="1" x14ac:dyDescent="0.3">
      <c r="E1106" s="41"/>
      <c r="F1106" s="41"/>
      <c r="G1106" s="41"/>
      <c r="H1106" s="41"/>
      <c r="I1106" s="41"/>
      <c r="J1106" s="41"/>
      <c r="K1106" s="41"/>
      <c r="L1106" s="41"/>
    </row>
    <row r="1107" spans="5:12" s="39" customFormat="1" x14ac:dyDescent="0.3">
      <c r="E1107" s="41"/>
      <c r="F1107" s="41"/>
      <c r="G1107" s="41"/>
      <c r="H1107" s="41"/>
      <c r="I1107" s="41"/>
      <c r="J1107" s="41"/>
      <c r="K1107" s="41"/>
      <c r="L1107" s="41"/>
    </row>
    <row r="1108" spans="5:12" s="39" customFormat="1" x14ac:dyDescent="0.3">
      <c r="E1108" s="41"/>
      <c r="F1108" s="41"/>
      <c r="G1108" s="41"/>
      <c r="H1108" s="41"/>
      <c r="I1108" s="41"/>
      <c r="J1108" s="41"/>
      <c r="K1108" s="41"/>
      <c r="L1108" s="41"/>
    </row>
    <row r="1109" spans="5:12" s="39" customFormat="1" x14ac:dyDescent="0.3">
      <c r="E1109" s="41"/>
      <c r="F1109" s="41"/>
      <c r="G1109" s="41"/>
      <c r="H1109" s="41"/>
      <c r="I1109" s="41"/>
      <c r="J1109" s="41"/>
      <c r="K1109" s="41"/>
      <c r="L1109" s="41"/>
    </row>
    <row r="1110" spans="5:12" s="39" customFormat="1" x14ac:dyDescent="0.3">
      <c r="E1110" s="41"/>
      <c r="F1110" s="41"/>
      <c r="G1110" s="41"/>
      <c r="H1110" s="41"/>
      <c r="I1110" s="41"/>
      <c r="J1110" s="41"/>
      <c r="K1110" s="41"/>
      <c r="L1110" s="41"/>
    </row>
    <row r="1111" spans="5:12" s="39" customFormat="1" x14ac:dyDescent="0.3">
      <c r="E1111" s="41"/>
      <c r="F1111" s="41"/>
      <c r="G1111" s="41"/>
      <c r="H1111" s="41"/>
      <c r="I1111" s="41"/>
      <c r="J1111" s="41"/>
      <c r="K1111" s="41"/>
      <c r="L1111" s="41"/>
    </row>
    <row r="1112" spans="5:12" s="39" customFormat="1" x14ac:dyDescent="0.3">
      <c r="E1112" s="41"/>
      <c r="F1112" s="41"/>
      <c r="G1112" s="41"/>
      <c r="H1112" s="41"/>
      <c r="I1112" s="41"/>
      <c r="J1112" s="41"/>
      <c r="K1112" s="41"/>
      <c r="L1112" s="41"/>
    </row>
    <row r="1113" spans="5:12" s="39" customFormat="1" x14ac:dyDescent="0.3">
      <c r="E1113" s="41"/>
      <c r="F1113" s="41"/>
      <c r="G1113" s="41"/>
      <c r="H1113" s="41"/>
      <c r="I1113" s="41"/>
      <c r="J1113" s="41"/>
      <c r="K1113" s="41"/>
      <c r="L1113" s="41"/>
    </row>
    <row r="1114" spans="5:12" s="39" customFormat="1" x14ac:dyDescent="0.3">
      <c r="E1114" s="41"/>
      <c r="F1114" s="41"/>
      <c r="G1114" s="41"/>
      <c r="H1114" s="41"/>
      <c r="I1114" s="41"/>
      <c r="J1114" s="41"/>
      <c r="K1114" s="41"/>
      <c r="L1114" s="41"/>
    </row>
    <row r="1115" spans="5:12" s="39" customFormat="1" x14ac:dyDescent="0.3">
      <c r="E1115" s="41"/>
      <c r="F1115" s="41"/>
      <c r="G1115" s="41"/>
      <c r="H1115" s="41"/>
      <c r="I1115" s="41"/>
      <c r="J1115" s="41"/>
      <c r="K1115" s="41"/>
      <c r="L1115" s="41"/>
    </row>
    <row r="1116" spans="5:12" s="39" customFormat="1" x14ac:dyDescent="0.3">
      <c r="E1116" s="41"/>
      <c r="F1116" s="41"/>
      <c r="G1116" s="41"/>
      <c r="H1116" s="41"/>
      <c r="I1116" s="41"/>
      <c r="J1116" s="41"/>
      <c r="K1116" s="41"/>
      <c r="L1116" s="41"/>
    </row>
    <row r="1117" spans="5:12" s="39" customFormat="1" x14ac:dyDescent="0.3">
      <c r="E1117" s="41"/>
      <c r="F1117" s="41"/>
      <c r="G1117" s="41"/>
      <c r="H1117" s="41"/>
      <c r="I1117" s="41"/>
      <c r="J1117" s="41"/>
      <c r="K1117" s="41"/>
      <c r="L1117" s="41"/>
    </row>
    <row r="1118" spans="5:12" s="39" customFormat="1" x14ac:dyDescent="0.3">
      <c r="E1118" s="41"/>
      <c r="F1118" s="41"/>
      <c r="G1118" s="41"/>
      <c r="H1118" s="41"/>
      <c r="I1118" s="41"/>
      <c r="J1118" s="41"/>
      <c r="K1118" s="41"/>
      <c r="L1118" s="41"/>
    </row>
    <row r="1119" spans="5:12" s="39" customFormat="1" x14ac:dyDescent="0.3">
      <c r="E1119" s="41"/>
      <c r="F1119" s="41"/>
      <c r="G1119" s="41"/>
      <c r="H1119" s="41"/>
      <c r="I1119" s="41"/>
      <c r="J1119" s="41"/>
      <c r="K1119" s="41"/>
      <c r="L1119" s="41"/>
    </row>
    <row r="1120" spans="5:12" s="39" customFormat="1" x14ac:dyDescent="0.3">
      <c r="E1120" s="41"/>
      <c r="F1120" s="41"/>
      <c r="G1120" s="41"/>
      <c r="H1120" s="41"/>
      <c r="I1120" s="41"/>
      <c r="J1120" s="41"/>
      <c r="K1120" s="41"/>
      <c r="L1120" s="41"/>
    </row>
    <row r="1121" spans="5:12" s="39" customFormat="1" x14ac:dyDescent="0.3">
      <c r="E1121" s="41"/>
      <c r="F1121" s="41"/>
      <c r="G1121" s="41"/>
      <c r="H1121" s="41"/>
      <c r="I1121" s="41"/>
      <c r="J1121" s="41"/>
      <c r="K1121" s="41"/>
      <c r="L1121" s="41"/>
    </row>
    <row r="1122" spans="5:12" s="39" customFormat="1" x14ac:dyDescent="0.3">
      <c r="E1122" s="41"/>
      <c r="F1122" s="41"/>
      <c r="G1122" s="41"/>
      <c r="H1122" s="41"/>
      <c r="I1122" s="41"/>
      <c r="J1122" s="41"/>
      <c r="K1122" s="41"/>
      <c r="L1122" s="41"/>
    </row>
    <row r="1123" spans="5:12" s="39" customFormat="1" x14ac:dyDescent="0.3">
      <c r="E1123" s="41"/>
      <c r="F1123" s="41"/>
      <c r="G1123" s="41"/>
      <c r="H1123" s="41"/>
      <c r="I1123" s="41"/>
      <c r="J1123" s="41"/>
      <c r="K1123" s="41"/>
      <c r="L1123" s="41"/>
    </row>
    <row r="1124" spans="5:12" s="39" customFormat="1" x14ac:dyDescent="0.3">
      <c r="E1124" s="41"/>
      <c r="F1124" s="41"/>
      <c r="G1124" s="41"/>
      <c r="H1124" s="41"/>
      <c r="I1124" s="41"/>
      <c r="J1124" s="41"/>
      <c r="K1124" s="41"/>
      <c r="L1124" s="41"/>
    </row>
    <row r="1125" spans="5:12" s="39" customFormat="1" x14ac:dyDescent="0.3">
      <c r="E1125" s="41"/>
      <c r="F1125" s="41"/>
      <c r="G1125" s="41"/>
      <c r="H1125" s="41"/>
      <c r="I1125" s="41"/>
      <c r="J1125" s="41"/>
      <c r="K1125" s="41"/>
      <c r="L1125" s="41"/>
    </row>
    <row r="1126" spans="5:12" s="39" customFormat="1" x14ac:dyDescent="0.3">
      <c r="E1126" s="41"/>
      <c r="F1126" s="41"/>
      <c r="G1126" s="41"/>
      <c r="H1126" s="41"/>
      <c r="I1126" s="41"/>
      <c r="J1126" s="41"/>
      <c r="K1126" s="41"/>
      <c r="L1126" s="41"/>
    </row>
    <row r="1127" spans="5:12" s="39" customFormat="1" x14ac:dyDescent="0.3">
      <c r="E1127" s="41"/>
      <c r="F1127" s="41"/>
      <c r="G1127" s="41"/>
      <c r="H1127" s="41"/>
      <c r="I1127" s="41"/>
      <c r="J1127" s="41"/>
      <c r="K1127" s="41"/>
      <c r="L1127" s="41"/>
    </row>
    <row r="1128" spans="5:12" s="39" customFormat="1" x14ac:dyDescent="0.3">
      <c r="E1128" s="41"/>
      <c r="F1128" s="41"/>
      <c r="G1128" s="41"/>
      <c r="H1128" s="41"/>
      <c r="I1128" s="41"/>
      <c r="J1128" s="41"/>
      <c r="K1128" s="41"/>
      <c r="L1128" s="41"/>
    </row>
    <row r="1129" spans="5:12" s="39" customFormat="1" x14ac:dyDescent="0.3">
      <c r="E1129" s="41"/>
      <c r="F1129" s="41"/>
      <c r="G1129" s="41"/>
      <c r="H1129" s="41"/>
      <c r="I1129" s="41"/>
      <c r="J1129" s="41"/>
      <c r="K1129" s="41"/>
      <c r="L1129" s="41"/>
    </row>
    <row r="1130" spans="5:12" s="39" customFormat="1" x14ac:dyDescent="0.3">
      <c r="E1130" s="41"/>
      <c r="F1130" s="41"/>
      <c r="G1130" s="41"/>
      <c r="H1130" s="41"/>
      <c r="I1130" s="41"/>
      <c r="J1130" s="41"/>
      <c r="K1130" s="41"/>
      <c r="L1130" s="41"/>
    </row>
    <row r="1131" spans="5:12" s="39" customFormat="1" x14ac:dyDescent="0.3">
      <c r="E1131" s="41"/>
      <c r="F1131" s="41"/>
      <c r="G1131" s="41"/>
      <c r="H1131" s="41"/>
      <c r="I1131" s="41"/>
      <c r="J1131" s="41"/>
      <c r="K1131" s="41"/>
      <c r="L1131" s="41"/>
    </row>
    <row r="1132" spans="5:12" s="39" customFormat="1" x14ac:dyDescent="0.3">
      <c r="E1132" s="41"/>
      <c r="F1132" s="41"/>
      <c r="G1132" s="41"/>
      <c r="H1132" s="41"/>
      <c r="I1132" s="41"/>
      <c r="J1132" s="41"/>
      <c r="K1132" s="41"/>
      <c r="L1132" s="41"/>
    </row>
    <row r="1133" spans="5:12" s="39" customFormat="1" x14ac:dyDescent="0.3">
      <c r="E1133" s="41"/>
      <c r="F1133" s="41"/>
      <c r="G1133" s="41"/>
      <c r="H1133" s="41"/>
      <c r="I1133" s="41"/>
      <c r="J1133" s="41"/>
      <c r="K1133" s="41"/>
      <c r="L1133" s="41"/>
    </row>
    <row r="1134" spans="5:12" s="39" customFormat="1" x14ac:dyDescent="0.3">
      <c r="E1134" s="41"/>
      <c r="F1134" s="41"/>
      <c r="G1134" s="41"/>
      <c r="H1134" s="41"/>
      <c r="I1134" s="41"/>
      <c r="J1134" s="41"/>
      <c r="K1134" s="41"/>
      <c r="L1134" s="41"/>
    </row>
    <row r="1135" spans="5:12" s="39" customFormat="1" x14ac:dyDescent="0.3">
      <c r="E1135" s="41"/>
      <c r="F1135" s="41"/>
      <c r="G1135" s="41"/>
      <c r="H1135" s="41"/>
      <c r="I1135" s="41"/>
      <c r="J1135" s="41"/>
      <c r="K1135" s="41"/>
      <c r="L1135" s="41"/>
    </row>
    <row r="1136" spans="5:12" s="39" customFormat="1" x14ac:dyDescent="0.3">
      <c r="E1136" s="41"/>
      <c r="F1136" s="41"/>
      <c r="G1136" s="41"/>
      <c r="H1136" s="41"/>
      <c r="I1136" s="41"/>
      <c r="J1136" s="41"/>
      <c r="K1136" s="41"/>
      <c r="L1136" s="41"/>
    </row>
    <row r="1137" spans="5:12" s="39" customFormat="1" x14ac:dyDescent="0.3">
      <c r="E1137" s="41"/>
      <c r="F1137" s="41"/>
      <c r="G1137" s="41"/>
      <c r="H1137" s="41"/>
      <c r="I1137" s="41"/>
      <c r="J1137" s="41"/>
      <c r="K1137" s="41"/>
      <c r="L1137" s="41"/>
    </row>
    <row r="1138" spans="5:12" s="39" customFormat="1" x14ac:dyDescent="0.3">
      <c r="E1138" s="41"/>
      <c r="F1138" s="41"/>
      <c r="G1138" s="41"/>
      <c r="H1138" s="41"/>
      <c r="I1138" s="41"/>
      <c r="J1138" s="41"/>
      <c r="K1138" s="41"/>
      <c r="L1138" s="41"/>
    </row>
    <row r="1139" spans="5:12" s="39" customFormat="1" x14ac:dyDescent="0.3">
      <c r="E1139" s="41"/>
      <c r="F1139" s="41"/>
      <c r="G1139" s="41"/>
      <c r="H1139" s="41"/>
      <c r="I1139" s="41"/>
      <c r="J1139" s="41"/>
      <c r="K1139" s="41"/>
      <c r="L1139" s="41"/>
    </row>
    <row r="1140" spans="5:12" s="39" customFormat="1" x14ac:dyDescent="0.3">
      <c r="E1140" s="41"/>
      <c r="F1140" s="41"/>
      <c r="G1140" s="41"/>
      <c r="H1140" s="41"/>
      <c r="I1140" s="41"/>
      <c r="J1140" s="41"/>
      <c r="K1140" s="41"/>
      <c r="L1140" s="41"/>
    </row>
    <row r="1141" spans="5:12" s="39" customFormat="1" x14ac:dyDescent="0.3">
      <c r="E1141" s="41"/>
      <c r="F1141" s="41"/>
      <c r="G1141" s="41"/>
      <c r="H1141" s="41"/>
      <c r="I1141" s="41"/>
      <c r="J1141" s="41"/>
      <c r="K1141" s="41"/>
      <c r="L1141" s="41"/>
    </row>
    <row r="1142" spans="5:12" s="39" customFormat="1" x14ac:dyDescent="0.3">
      <c r="E1142" s="41"/>
      <c r="F1142" s="41"/>
      <c r="G1142" s="41"/>
      <c r="H1142" s="41"/>
      <c r="I1142" s="41"/>
      <c r="J1142" s="41"/>
      <c r="K1142" s="41"/>
      <c r="L1142" s="41"/>
    </row>
    <row r="1143" spans="5:12" s="39" customFormat="1" x14ac:dyDescent="0.3">
      <c r="E1143" s="41"/>
      <c r="F1143" s="41"/>
      <c r="G1143" s="41"/>
      <c r="H1143" s="41"/>
      <c r="I1143" s="41"/>
      <c r="J1143" s="41"/>
      <c r="K1143" s="41"/>
      <c r="L1143" s="41"/>
    </row>
    <row r="1144" spans="5:12" s="39" customFormat="1" x14ac:dyDescent="0.3">
      <c r="E1144" s="41"/>
      <c r="F1144" s="41"/>
      <c r="G1144" s="41"/>
      <c r="H1144" s="41"/>
      <c r="I1144" s="41"/>
      <c r="J1144" s="41"/>
      <c r="K1144" s="41"/>
      <c r="L1144" s="41"/>
    </row>
    <row r="1145" spans="5:12" s="39" customFormat="1" x14ac:dyDescent="0.3">
      <c r="E1145" s="41"/>
      <c r="F1145" s="41"/>
      <c r="G1145" s="41"/>
      <c r="H1145" s="41"/>
      <c r="I1145" s="41"/>
      <c r="J1145" s="41"/>
      <c r="K1145" s="41"/>
      <c r="L1145" s="41"/>
    </row>
    <row r="1146" spans="5:12" s="39" customFormat="1" x14ac:dyDescent="0.3">
      <c r="E1146" s="41"/>
      <c r="F1146" s="41"/>
      <c r="G1146" s="41"/>
      <c r="H1146" s="41"/>
      <c r="I1146" s="41"/>
      <c r="J1146" s="41"/>
      <c r="K1146" s="41"/>
      <c r="L1146" s="41"/>
    </row>
    <row r="1147" spans="5:12" s="39" customFormat="1" x14ac:dyDescent="0.3">
      <c r="E1147" s="41"/>
      <c r="F1147" s="41"/>
      <c r="G1147" s="41"/>
      <c r="H1147" s="41"/>
      <c r="I1147" s="41"/>
      <c r="J1147" s="41"/>
      <c r="K1147" s="41"/>
      <c r="L1147" s="41"/>
    </row>
    <row r="1148" spans="5:12" s="39" customFormat="1" x14ac:dyDescent="0.3">
      <c r="E1148" s="41"/>
      <c r="F1148" s="41"/>
      <c r="G1148" s="41"/>
      <c r="H1148" s="41"/>
      <c r="I1148" s="41"/>
      <c r="J1148" s="41"/>
      <c r="K1148" s="41"/>
      <c r="L1148" s="41"/>
    </row>
    <row r="1149" spans="5:12" s="39" customFormat="1" x14ac:dyDescent="0.3">
      <c r="E1149" s="41"/>
      <c r="F1149" s="41"/>
      <c r="G1149" s="41"/>
      <c r="H1149" s="41"/>
      <c r="I1149" s="41"/>
      <c r="J1149" s="41"/>
      <c r="K1149" s="41"/>
      <c r="L1149" s="41"/>
    </row>
    <row r="1150" spans="5:12" s="39" customFormat="1" x14ac:dyDescent="0.3">
      <c r="E1150" s="41"/>
      <c r="F1150" s="41"/>
      <c r="G1150" s="41"/>
      <c r="H1150" s="41"/>
      <c r="I1150" s="41"/>
      <c r="J1150" s="41"/>
      <c r="K1150" s="41"/>
      <c r="L1150" s="41"/>
    </row>
    <row r="1151" spans="5:12" s="39" customFormat="1" x14ac:dyDescent="0.3">
      <c r="E1151" s="41"/>
      <c r="F1151" s="41"/>
      <c r="G1151" s="41"/>
      <c r="H1151" s="41"/>
      <c r="I1151" s="41"/>
      <c r="J1151" s="41"/>
      <c r="K1151" s="41"/>
      <c r="L1151" s="41"/>
    </row>
    <row r="1152" spans="5:12" s="39" customFormat="1" x14ac:dyDescent="0.3">
      <c r="E1152" s="41"/>
      <c r="F1152" s="41"/>
      <c r="G1152" s="41"/>
      <c r="H1152" s="41"/>
      <c r="I1152" s="41"/>
      <c r="J1152" s="41"/>
      <c r="K1152" s="41"/>
      <c r="L1152" s="41"/>
    </row>
    <row r="1153" spans="5:12" s="39" customFormat="1" x14ac:dyDescent="0.3">
      <c r="E1153" s="41"/>
      <c r="F1153" s="41"/>
      <c r="G1153" s="41"/>
      <c r="H1153" s="41"/>
      <c r="I1153" s="41"/>
      <c r="J1153" s="41"/>
      <c r="K1153" s="41"/>
      <c r="L1153" s="41"/>
    </row>
    <row r="1154" spans="5:12" s="39" customFormat="1" x14ac:dyDescent="0.3">
      <c r="E1154" s="41"/>
      <c r="F1154" s="41"/>
      <c r="G1154" s="41"/>
      <c r="H1154" s="41"/>
      <c r="I1154" s="41"/>
      <c r="J1154" s="41"/>
      <c r="K1154" s="41"/>
      <c r="L1154" s="41"/>
    </row>
    <row r="1155" spans="5:12" s="39" customFormat="1" x14ac:dyDescent="0.3">
      <c r="E1155" s="41"/>
      <c r="F1155" s="41"/>
      <c r="G1155" s="41"/>
      <c r="H1155" s="41"/>
      <c r="I1155" s="41"/>
      <c r="J1155" s="41"/>
      <c r="K1155" s="41"/>
      <c r="L1155" s="41"/>
    </row>
    <row r="1156" spans="5:12" s="39" customFormat="1" x14ac:dyDescent="0.3">
      <c r="E1156" s="41"/>
      <c r="F1156" s="41"/>
      <c r="G1156" s="41"/>
      <c r="H1156" s="41"/>
      <c r="I1156" s="41"/>
      <c r="J1156" s="41"/>
      <c r="K1156" s="41"/>
      <c r="L1156" s="41"/>
    </row>
    <row r="1157" spans="5:12" s="39" customFormat="1" x14ac:dyDescent="0.3">
      <c r="E1157" s="41"/>
      <c r="F1157" s="41"/>
      <c r="G1157" s="41"/>
      <c r="H1157" s="41"/>
      <c r="I1157" s="41"/>
      <c r="J1157" s="41"/>
      <c r="K1157" s="41"/>
      <c r="L1157" s="41"/>
    </row>
    <row r="1158" spans="5:12" s="39" customFormat="1" x14ac:dyDescent="0.3">
      <c r="E1158" s="41"/>
      <c r="F1158" s="41"/>
      <c r="G1158" s="41"/>
      <c r="H1158" s="41"/>
      <c r="I1158" s="41"/>
      <c r="J1158" s="41"/>
      <c r="K1158" s="41"/>
      <c r="L1158" s="41"/>
    </row>
    <row r="1159" spans="5:12" s="39" customFormat="1" x14ac:dyDescent="0.3">
      <c r="E1159" s="41"/>
      <c r="F1159" s="41"/>
      <c r="G1159" s="41"/>
      <c r="H1159" s="41"/>
      <c r="I1159" s="41"/>
      <c r="J1159" s="41"/>
      <c r="K1159" s="41"/>
      <c r="L1159" s="41"/>
    </row>
    <row r="1160" spans="5:12" s="39" customFormat="1" x14ac:dyDescent="0.3">
      <c r="E1160" s="41"/>
      <c r="F1160" s="41"/>
      <c r="G1160" s="41"/>
      <c r="H1160" s="41"/>
      <c r="I1160" s="41"/>
      <c r="J1160" s="41"/>
      <c r="K1160" s="41"/>
      <c r="L1160" s="41"/>
    </row>
    <row r="1161" spans="5:12" s="39" customFormat="1" x14ac:dyDescent="0.3">
      <c r="E1161" s="41"/>
      <c r="F1161" s="41"/>
      <c r="G1161" s="41"/>
      <c r="H1161" s="41"/>
      <c r="I1161" s="41"/>
      <c r="J1161" s="41"/>
      <c r="K1161" s="41"/>
      <c r="L1161" s="41"/>
    </row>
    <row r="1162" spans="5:12" s="39" customFormat="1" x14ac:dyDescent="0.3">
      <c r="E1162" s="41"/>
      <c r="F1162" s="41"/>
      <c r="G1162" s="41"/>
      <c r="H1162" s="41"/>
      <c r="I1162" s="41"/>
      <c r="J1162" s="41"/>
      <c r="K1162" s="41"/>
      <c r="L1162" s="41"/>
    </row>
    <row r="1163" spans="5:12" s="39" customFormat="1" x14ac:dyDescent="0.3">
      <c r="E1163" s="41"/>
      <c r="F1163" s="41"/>
      <c r="G1163" s="41"/>
      <c r="H1163" s="41"/>
      <c r="I1163" s="41"/>
      <c r="J1163" s="41"/>
      <c r="K1163" s="41"/>
      <c r="L1163" s="41"/>
    </row>
    <row r="1164" spans="5:12" s="39" customFormat="1" x14ac:dyDescent="0.3">
      <c r="E1164" s="41"/>
      <c r="F1164" s="41"/>
      <c r="G1164" s="41"/>
      <c r="H1164" s="41"/>
      <c r="I1164" s="41"/>
      <c r="J1164" s="41"/>
      <c r="K1164" s="41"/>
      <c r="L1164" s="41"/>
    </row>
    <row r="1165" spans="5:12" s="39" customFormat="1" x14ac:dyDescent="0.3">
      <c r="E1165" s="41"/>
      <c r="F1165" s="41"/>
      <c r="G1165" s="41"/>
      <c r="H1165" s="41"/>
      <c r="I1165" s="41"/>
      <c r="J1165" s="41"/>
      <c r="K1165" s="41"/>
      <c r="L1165" s="41"/>
    </row>
    <row r="1166" spans="5:12" s="39" customFormat="1" x14ac:dyDescent="0.3">
      <c r="E1166" s="41"/>
      <c r="F1166" s="41"/>
      <c r="G1166" s="41"/>
      <c r="H1166" s="41"/>
      <c r="I1166" s="41"/>
      <c r="J1166" s="41"/>
      <c r="K1166" s="41"/>
      <c r="L1166" s="41"/>
    </row>
    <row r="1167" spans="5:12" s="39" customFormat="1" x14ac:dyDescent="0.3">
      <c r="E1167" s="41"/>
      <c r="F1167" s="41"/>
      <c r="G1167" s="41"/>
      <c r="H1167" s="41"/>
      <c r="I1167" s="41"/>
      <c r="J1167" s="41"/>
      <c r="K1167" s="41"/>
      <c r="L1167" s="41"/>
    </row>
    <row r="1168" spans="5:12" s="39" customFormat="1" x14ac:dyDescent="0.3">
      <c r="E1168" s="41"/>
      <c r="F1168" s="41"/>
      <c r="G1168" s="41"/>
      <c r="H1168" s="41"/>
      <c r="I1168" s="41"/>
      <c r="J1168" s="41"/>
      <c r="K1168" s="41"/>
      <c r="L1168" s="41"/>
    </row>
    <row r="1169" spans="5:12" s="39" customFormat="1" x14ac:dyDescent="0.3">
      <c r="E1169" s="41"/>
      <c r="F1169" s="41"/>
      <c r="G1169" s="41"/>
      <c r="H1169" s="41"/>
      <c r="I1169" s="41"/>
      <c r="J1169" s="41"/>
      <c r="K1169" s="41"/>
      <c r="L1169" s="41"/>
    </row>
    <row r="1170" spans="5:12" s="39" customFormat="1" x14ac:dyDescent="0.3">
      <c r="E1170" s="41"/>
      <c r="F1170" s="41"/>
      <c r="G1170" s="41"/>
      <c r="H1170" s="41"/>
      <c r="I1170" s="41"/>
      <c r="J1170" s="41"/>
      <c r="K1170" s="41"/>
      <c r="L1170" s="41"/>
    </row>
    <row r="1171" spans="5:12" s="39" customFormat="1" x14ac:dyDescent="0.3">
      <c r="E1171" s="41"/>
      <c r="F1171" s="41"/>
      <c r="G1171" s="41"/>
      <c r="H1171" s="41"/>
      <c r="I1171" s="41"/>
      <c r="J1171" s="41"/>
      <c r="K1171" s="41"/>
      <c r="L1171" s="41"/>
    </row>
    <row r="1172" spans="5:12" s="39" customFormat="1" x14ac:dyDescent="0.3">
      <c r="E1172" s="41"/>
      <c r="F1172" s="41"/>
      <c r="G1172" s="41"/>
      <c r="H1172" s="41"/>
      <c r="I1172" s="41"/>
      <c r="J1172" s="41"/>
      <c r="K1172" s="41"/>
      <c r="L1172" s="41"/>
    </row>
    <row r="1173" spans="5:12" s="39" customFormat="1" x14ac:dyDescent="0.3">
      <c r="E1173" s="41"/>
      <c r="F1173" s="41"/>
      <c r="G1173" s="41"/>
      <c r="H1173" s="41"/>
      <c r="I1173" s="41"/>
      <c r="J1173" s="41"/>
      <c r="K1173" s="41"/>
      <c r="L1173" s="41"/>
    </row>
    <row r="1174" spans="5:12" s="39" customFormat="1" x14ac:dyDescent="0.3">
      <c r="E1174" s="41"/>
      <c r="F1174" s="41"/>
      <c r="G1174" s="41"/>
      <c r="H1174" s="41"/>
      <c r="I1174" s="41"/>
      <c r="J1174" s="41"/>
      <c r="K1174" s="41"/>
      <c r="L1174" s="41"/>
    </row>
    <row r="1175" spans="5:12" s="39" customFormat="1" x14ac:dyDescent="0.3">
      <c r="E1175" s="41"/>
      <c r="F1175" s="41"/>
      <c r="G1175" s="41"/>
      <c r="H1175" s="41"/>
      <c r="I1175" s="41"/>
      <c r="J1175" s="41"/>
      <c r="K1175" s="41"/>
      <c r="L1175" s="41"/>
    </row>
    <row r="1176" spans="5:12" s="39" customFormat="1" x14ac:dyDescent="0.3">
      <c r="E1176" s="41"/>
      <c r="F1176" s="41"/>
      <c r="G1176" s="41"/>
      <c r="H1176" s="41"/>
      <c r="I1176" s="41"/>
      <c r="J1176" s="41"/>
      <c r="K1176" s="41"/>
      <c r="L1176" s="41"/>
    </row>
    <row r="1177" spans="5:12" s="39" customFormat="1" x14ac:dyDescent="0.3">
      <c r="E1177" s="41"/>
      <c r="F1177" s="41"/>
      <c r="G1177" s="41"/>
      <c r="H1177" s="41"/>
      <c r="I1177" s="41"/>
      <c r="J1177" s="41"/>
      <c r="K1177" s="41"/>
      <c r="L1177" s="41"/>
    </row>
    <row r="1178" spans="5:12" s="39" customFormat="1" x14ac:dyDescent="0.3">
      <c r="E1178" s="41"/>
      <c r="F1178" s="41"/>
      <c r="G1178" s="41"/>
      <c r="H1178" s="41"/>
      <c r="I1178" s="41"/>
      <c r="J1178" s="41"/>
      <c r="K1178" s="41"/>
      <c r="L1178" s="41"/>
    </row>
    <row r="1179" spans="5:12" s="39" customFormat="1" x14ac:dyDescent="0.3">
      <c r="E1179" s="41"/>
      <c r="F1179" s="41"/>
      <c r="G1179" s="41"/>
      <c r="H1179" s="41"/>
      <c r="I1179" s="41"/>
      <c r="J1179" s="41"/>
      <c r="K1179" s="41"/>
      <c r="L1179" s="41"/>
    </row>
    <row r="1180" spans="5:12" s="39" customFormat="1" x14ac:dyDescent="0.3">
      <c r="E1180" s="41"/>
      <c r="F1180" s="41"/>
      <c r="G1180" s="41"/>
      <c r="H1180" s="41"/>
      <c r="I1180" s="41"/>
      <c r="J1180" s="41"/>
      <c r="K1180" s="41"/>
      <c r="L1180" s="41"/>
    </row>
    <row r="1181" spans="5:12" s="39" customFormat="1" x14ac:dyDescent="0.3">
      <c r="E1181" s="41"/>
      <c r="F1181" s="41"/>
      <c r="G1181" s="41"/>
      <c r="H1181" s="41"/>
      <c r="I1181" s="41"/>
      <c r="J1181" s="41"/>
      <c r="K1181" s="41"/>
      <c r="L1181" s="41"/>
    </row>
    <row r="1182" spans="5:12" s="39" customFormat="1" x14ac:dyDescent="0.3">
      <c r="E1182" s="41"/>
      <c r="F1182" s="41"/>
      <c r="G1182" s="41"/>
      <c r="H1182" s="41"/>
      <c r="I1182" s="41"/>
      <c r="J1182" s="41"/>
      <c r="K1182" s="41"/>
      <c r="L1182" s="41"/>
    </row>
    <row r="1183" spans="5:12" s="39" customFormat="1" x14ac:dyDescent="0.3">
      <c r="E1183" s="41"/>
      <c r="F1183" s="41"/>
      <c r="G1183" s="41"/>
      <c r="H1183" s="41"/>
      <c r="I1183" s="41"/>
      <c r="J1183" s="41"/>
      <c r="K1183" s="41"/>
      <c r="L1183" s="41"/>
    </row>
    <row r="1184" spans="5:12" s="39" customFormat="1" x14ac:dyDescent="0.3">
      <c r="E1184" s="41"/>
      <c r="F1184" s="41"/>
      <c r="G1184" s="41"/>
      <c r="H1184" s="41"/>
      <c r="I1184" s="41"/>
      <c r="J1184" s="41"/>
      <c r="K1184" s="41"/>
      <c r="L1184" s="41"/>
    </row>
    <row r="1185" spans="5:12" s="39" customFormat="1" x14ac:dyDescent="0.3">
      <c r="E1185" s="41"/>
      <c r="F1185" s="41"/>
      <c r="G1185" s="41"/>
      <c r="H1185" s="41"/>
      <c r="I1185" s="41"/>
      <c r="J1185" s="41"/>
      <c r="K1185" s="41"/>
      <c r="L1185" s="41"/>
    </row>
    <row r="1186" spans="5:12" s="39" customFormat="1" x14ac:dyDescent="0.3">
      <c r="E1186" s="41"/>
      <c r="F1186" s="41"/>
      <c r="G1186" s="41"/>
      <c r="H1186" s="41"/>
      <c r="I1186" s="41"/>
      <c r="J1186" s="41"/>
      <c r="K1186" s="41"/>
      <c r="L1186" s="41"/>
    </row>
    <row r="1187" spans="5:12" s="39" customFormat="1" x14ac:dyDescent="0.3">
      <c r="E1187" s="41"/>
      <c r="F1187" s="41"/>
      <c r="G1187" s="41"/>
      <c r="H1187" s="41"/>
      <c r="I1187" s="41"/>
      <c r="J1187" s="41"/>
      <c r="K1187" s="41"/>
      <c r="L1187" s="41"/>
    </row>
    <row r="1188" spans="5:12" s="39" customFormat="1" x14ac:dyDescent="0.3">
      <c r="E1188" s="41"/>
      <c r="F1188" s="41"/>
      <c r="G1188" s="41"/>
      <c r="H1188" s="41"/>
      <c r="I1188" s="41"/>
      <c r="J1188" s="41"/>
      <c r="K1188" s="41"/>
      <c r="L1188" s="41"/>
    </row>
    <row r="1189" spans="5:12" s="39" customFormat="1" x14ac:dyDescent="0.3">
      <c r="E1189" s="41"/>
      <c r="F1189" s="41"/>
      <c r="G1189" s="41"/>
      <c r="H1189" s="41"/>
      <c r="I1189" s="41"/>
      <c r="J1189" s="41"/>
      <c r="K1189" s="41"/>
      <c r="L1189" s="41"/>
    </row>
    <row r="1190" spans="5:12" s="39" customFormat="1" x14ac:dyDescent="0.3">
      <c r="E1190" s="41"/>
      <c r="F1190" s="41"/>
      <c r="G1190" s="41"/>
      <c r="H1190" s="41"/>
      <c r="I1190" s="41"/>
      <c r="J1190" s="41"/>
      <c r="K1190" s="41"/>
      <c r="L1190" s="41"/>
    </row>
    <row r="1191" spans="5:12" s="39" customFormat="1" x14ac:dyDescent="0.3">
      <c r="E1191" s="41"/>
      <c r="F1191" s="41"/>
      <c r="G1191" s="41"/>
      <c r="H1191" s="41"/>
      <c r="I1191" s="41"/>
      <c r="J1191" s="41"/>
      <c r="K1191" s="41"/>
      <c r="L1191" s="41"/>
    </row>
    <row r="1192" spans="5:12" s="39" customFormat="1" x14ac:dyDescent="0.3">
      <c r="E1192" s="41"/>
      <c r="F1192" s="41"/>
      <c r="G1192" s="41"/>
      <c r="H1192" s="41"/>
      <c r="I1192" s="41"/>
      <c r="J1192" s="41"/>
      <c r="K1192" s="41"/>
      <c r="L1192" s="41"/>
    </row>
    <row r="1193" spans="5:12" s="39" customFormat="1" x14ac:dyDescent="0.3">
      <c r="E1193" s="41"/>
      <c r="F1193" s="41"/>
      <c r="G1193" s="41"/>
      <c r="H1193" s="41"/>
      <c r="I1193" s="41"/>
      <c r="J1193" s="41"/>
      <c r="K1193" s="41"/>
      <c r="L1193" s="41"/>
    </row>
    <row r="1194" spans="5:12" s="39" customFormat="1" x14ac:dyDescent="0.3">
      <c r="E1194" s="41"/>
      <c r="F1194" s="41"/>
      <c r="G1194" s="41"/>
      <c r="H1194" s="41"/>
      <c r="I1194" s="41"/>
      <c r="J1194" s="41"/>
      <c r="K1194" s="41"/>
      <c r="L1194" s="41"/>
    </row>
    <row r="1195" spans="5:12" s="39" customFormat="1" x14ac:dyDescent="0.3">
      <c r="E1195" s="41"/>
      <c r="F1195" s="41"/>
      <c r="G1195" s="41"/>
      <c r="H1195" s="41"/>
      <c r="I1195" s="41"/>
      <c r="J1195" s="41"/>
      <c r="K1195" s="41"/>
      <c r="L1195" s="41"/>
    </row>
    <row r="1196" spans="5:12" s="39" customFormat="1" x14ac:dyDescent="0.3">
      <c r="E1196" s="41"/>
      <c r="F1196" s="41"/>
      <c r="G1196" s="41"/>
      <c r="H1196" s="41"/>
      <c r="I1196" s="41"/>
      <c r="J1196" s="41"/>
      <c r="K1196" s="41"/>
      <c r="L1196" s="41"/>
    </row>
    <row r="1197" spans="5:12" s="39" customFormat="1" x14ac:dyDescent="0.3">
      <c r="E1197" s="41"/>
      <c r="F1197" s="41"/>
      <c r="G1197" s="41"/>
      <c r="H1197" s="41"/>
      <c r="I1197" s="41"/>
      <c r="J1197" s="41"/>
      <c r="K1197" s="41"/>
      <c r="L1197" s="41"/>
    </row>
    <row r="1198" spans="5:12" s="39" customFormat="1" x14ac:dyDescent="0.3">
      <c r="E1198" s="41"/>
      <c r="F1198" s="41"/>
      <c r="G1198" s="41"/>
      <c r="H1198" s="41"/>
      <c r="I1198" s="41"/>
      <c r="J1198" s="41"/>
      <c r="K1198" s="41"/>
      <c r="L1198" s="41"/>
    </row>
    <row r="1199" spans="5:12" s="39" customFormat="1" x14ac:dyDescent="0.3">
      <c r="E1199" s="41"/>
      <c r="F1199" s="41"/>
      <c r="G1199" s="41"/>
      <c r="H1199" s="41"/>
      <c r="I1199" s="41"/>
      <c r="J1199" s="41"/>
      <c r="K1199" s="41"/>
      <c r="L1199" s="41"/>
    </row>
    <row r="1200" spans="5:12" s="39" customFormat="1" x14ac:dyDescent="0.3">
      <c r="E1200" s="41"/>
      <c r="F1200" s="41"/>
      <c r="G1200" s="41"/>
      <c r="H1200" s="41"/>
      <c r="I1200" s="41"/>
      <c r="J1200" s="41"/>
      <c r="K1200" s="41"/>
      <c r="L1200" s="41"/>
    </row>
    <row r="1201" spans="5:12" s="39" customFormat="1" x14ac:dyDescent="0.3">
      <c r="E1201" s="41"/>
      <c r="F1201" s="41"/>
      <c r="G1201" s="41"/>
      <c r="H1201" s="41"/>
      <c r="I1201" s="41"/>
      <c r="J1201" s="41"/>
      <c r="K1201" s="41"/>
      <c r="L1201" s="41"/>
    </row>
    <row r="1202" spans="5:12" s="39" customFormat="1" x14ac:dyDescent="0.3">
      <c r="E1202" s="41"/>
      <c r="F1202" s="41"/>
      <c r="G1202" s="41"/>
      <c r="H1202" s="41"/>
      <c r="I1202" s="41"/>
      <c r="J1202" s="41"/>
      <c r="K1202" s="41"/>
      <c r="L1202" s="41"/>
    </row>
    <row r="1203" spans="5:12" s="39" customFormat="1" x14ac:dyDescent="0.3">
      <c r="E1203" s="41"/>
      <c r="F1203" s="41"/>
      <c r="G1203" s="41"/>
      <c r="H1203" s="41"/>
      <c r="I1203" s="41"/>
      <c r="J1203" s="41"/>
      <c r="K1203" s="41"/>
      <c r="L1203" s="41"/>
    </row>
    <row r="1204" spans="5:12" s="39" customFormat="1" x14ac:dyDescent="0.3">
      <c r="E1204" s="41"/>
      <c r="F1204" s="41"/>
      <c r="G1204" s="41"/>
      <c r="H1204" s="41"/>
      <c r="I1204" s="41"/>
      <c r="J1204" s="41"/>
      <c r="K1204" s="41"/>
      <c r="L1204" s="41"/>
    </row>
    <row r="1205" spans="5:12" s="39" customFormat="1" x14ac:dyDescent="0.3">
      <c r="E1205" s="41"/>
      <c r="F1205" s="41"/>
      <c r="G1205" s="41"/>
      <c r="H1205" s="41"/>
      <c r="I1205" s="41"/>
      <c r="J1205" s="41"/>
      <c r="K1205" s="41"/>
      <c r="L1205" s="41"/>
    </row>
    <row r="1206" spans="5:12" s="39" customFormat="1" x14ac:dyDescent="0.3">
      <c r="E1206" s="41"/>
      <c r="F1206" s="41"/>
      <c r="G1206" s="41"/>
      <c r="H1206" s="41"/>
      <c r="I1206" s="41"/>
      <c r="J1206" s="41"/>
      <c r="K1206" s="41"/>
      <c r="L1206" s="41"/>
    </row>
    <row r="1207" spans="5:12" s="39" customFormat="1" x14ac:dyDescent="0.3">
      <c r="E1207" s="41"/>
      <c r="F1207" s="41"/>
      <c r="G1207" s="41"/>
      <c r="H1207" s="41"/>
      <c r="I1207" s="41"/>
      <c r="J1207" s="41"/>
      <c r="K1207" s="41"/>
      <c r="L1207" s="41"/>
    </row>
    <row r="1208" spans="5:12" s="39" customFormat="1" x14ac:dyDescent="0.3">
      <c r="E1208" s="41"/>
      <c r="F1208" s="41"/>
      <c r="G1208" s="41"/>
      <c r="H1208" s="41"/>
      <c r="I1208" s="41"/>
      <c r="J1208" s="41"/>
      <c r="K1208" s="41"/>
      <c r="L1208" s="41"/>
    </row>
    <row r="1209" spans="5:12" s="39" customFormat="1" x14ac:dyDescent="0.3">
      <c r="E1209" s="41"/>
      <c r="F1209" s="41"/>
      <c r="G1209" s="41"/>
      <c r="H1209" s="41"/>
      <c r="I1209" s="41"/>
      <c r="J1209" s="41"/>
      <c r="K1209" s="41"/>
      <c r="L1209" s="41"/>
    </row>
    <row r="1210" spans="5:12" s="39" customFormat="1" x14ac:dyDescent="0.3">
      <c r="E1210" s="41"/>
      <c r="F1210" s="41"/>
      <c r="G1210" s="41"/>
      <c r="H1210" s="41"/>
      <c r="I1210" s="41"/>
      <c r="J1210" s="41"/>
      <c r="K1210" s="41"/>
      <c r="L1210" s="41"/>
    </row>
    <row r="1211" spans="5:12" s="39" customFormat="1" x14ac:dyDescent="0.3">
      <c r="E1211" s="41"/>
      <c r="F1211" s="41"/>
      <c r="G1211" s="41"/>
      <c r="H1211" s="41"/>
      <c r="I1211" s="41"/>
      <c r="J1211" s="41"/>
      <c r="K1211" s="41"/>
      <c r="L1211" s="41"/>
    </row>
    <row r="1212" spans="5:12" s="39" customFormat="1" x14ac:dyDescent="0.3">
      <c r="E1212" s="41"/>
      <c r="F1212" s="41"/>
      <c r="G1212" s="41"/>
      <c r="H1212" s="41"/>
      <c r="I1212" s="41"/>
      <c r="J1212" s="41"/>
      <c r="K1212" s="41"/>
      <c r="L1212" s="41"/>
    </row>
    <row r="1213" spans="5:12" s="39" customFormat="1" x14ac:dyDescent="0.3">
      <c r="E1213" s="41"/>
      <c r="F1213" s="41"/>
      <c r="G1213" s="41"/>
      <c r="H1213" s="41"/>
      <c r="I1213" s="41"/>
      <c r="J1213" s="41"/>
      <c r="K1213" s="41"/>
      <c r="L1213" s="41"/>
    </row>
    <row r="1214" spans="5:12" s="39" customFormat="1" x14ac:dyDescent="0.3">
      <c r="E1214" s="41"/>
      <c r="F1214" s="41"/>
      <c r="G1214" s="41"/>
      <c r="H1214" s="41"/>
      <c r="I1214" s="41"/>
      <c r="J1214" s="41"/>
      <c r="K1214" s="41"/>
      <c r="L1214" s="41"/>
    </row>
    <row r="1215" spans="5:12" s="39" customFormat="1" x14ac:dyDescent="0.3">
      <c r="E1215" s="41"/>
      <c r="F1215" s="41"/>
      <c r="G1215" s="41"/>
      <c r="H1215" s="41"/>
      <c r="I1215" s="41"/>
      <c r="J1215" s="41"/>
      <c r="K1215" s="41"/>
      <c r="L1215" s="41"/>
    </row>
    <row r="1216" spans="5:12" s="39" customFormat="1" x14ac:dyDescent="0.3">
      <c r="E1216" s="41"/>
      <c r="F1216" s="41"/>
      <c r="G1216" s="41"/>
      <c r="H1216" s="41"/>
      <c r="I1216" s="41"/>
      <c r="J1216" s="41"/>
      <c r="K1216" s="41"/>
      <c r="L1216" s="41"/>
    </row>
    <row r="1217" spans="5:12" s="39" customFormat="1" x14ac:dyDescent="0.3">
      <c r="E1217" s="41"/>
      <c r="F1217" s="41"/>
      <c r="G1217" s="41"/>
      <c r="H1217" s="41"/>
      <c r="I1217" s="41"/>
      <c r="J1217" s="41"/>
      <c r="K1217" s="41"/>
      <c r="L1217" s="41"/>
    </row>
    <row r="1218" spans="5:12" s="39" customFormat="1" x14ac:dyDescent="0.3">
      <c r="E1218" s="41"/>
      <c r="F1218" s="41"/>
      <c r="G1218" s="41"/>
      <c r="H1218" s="41"/>
      <c r="I1218" s="41"/>
      <c r="J1218" s="41"/>
      <c r="K1218" s="41"/>
      <c r="L1218" s="41"/>
    </row>
    <row r="1219" spans="5:12" s="39" customFormat="1" x14ac:dyDescent="0.3">
      <c r="E1219" s="41"/>
      <c r="F1219" s="41"/>
      <c r="G1219" s="41"/>
      <c r="H1219" s="41"/>
      <c r="I1219" s="41"/>
      <c r="J1219" s="41"/>
      <c r="K1219" s="41"/>
      <c r="L1219" s="41"/>
    </row>
    <row r="1220" spans="5:12" s="39" customFormat="1" x14ac:dyDescent="0.3">
      <c r="E1220" s="41"/>
      <c r="F1220" s="41"/>
      <c r="G1220" s="41"/>
      <c r="H1220" s="41"/>
      <c r="I1220" s="41"/>
      <c r="J1220" s="41"/>
      <c r="K1220" s="41"/>
      <c r="L1220" s="41"/>
    </row>
    <row r="1221" spans="5:12" s="39" customFormat="1" x14ac:dyDescent="0.3">
      <c r="E1221" s="41"/>
      <c r="F1221" s="41"/>
      <c r="G1221" s="41"/>
      <c r="H1221" s="41"/>
      <c r="I1221" s="41"/>
      <c r="J1221" s="41"/>
      <c r="K1221" s="41"/>
      <c r="L1221" s="41"/>
    </row>
    <row r="1222" spans="5:12" s="39" customFormat="1" x14ac:dyDescent="0.3">
      <c r="E1222" s="41"/>
      <c r="F1222" s="41"/>
      <c r="G1222" s="41"/>
      <c r="H1222" s="41"/>
      <c r="I1222" s="41"/>
      <c r="J1222" s="41"/>
      <c r="K1222" s="41"/>
      <c r="L1222" s="41"/>
    </row>
    <row r="1223" spans="5:12" s="39" customFormat="1" x14ac:dyDescent="0.3">
      <c r="E1223" s="41"/>
      <c r="F1223" s="41"/>
      <c r="G1223" s="41"/>
      <c r="H1223" s="41"/>
      <c r="I1223" s="41"/>
      <c r="J1223" s="41"/>
      <c r="K1223" s="41"/>
      <c r="L1223" s="41"/>
    </row>
    <row r="1224" spans="5:12" s="39" customFormat="1" x14ac:dyDescent="0.3">
      <c r="E1224" s="41"/>
      <c r="F1224" s="41"/>
      <c r="G1224" s="41"/>
      <c r="H1224" s="41"/>
      <c r="I1224" s="41"/>
      <c r="J1224" s="41"/>
      <c r="K1224" s="41"/>
      <c r="L1224" s="41"/>
    </row>
    <row r="1225" spans="5:12" s="39" customFormat="1" x14ac:dyDescent="0.3">
      <c r="E1225" s="41"/>
      <c r="F1225" s="41"/>
      <c r="G1225" s="41"/>
      <c r="H1225" s="41"/>
      <c r="I1225" s="41"/>
      <c r="J1225" s="41"/>
      <c r="K1225" s="41"/>
      <c r="L1225" s="41"/>
    </row>
    <row r="1226" spans="5:12" s="39" customFormat="1" x14ac:dyDescent="0.3">
      <c r="E1226" s="41"/>
      <c r="F1226" s="41"/>
      <c r="G1226" s="41"/>
      <c r="H1226" s="41"/>
      <c r="I1226" s="41"/>
      <c r="J1226" s="41"/>
      <c r="K1226" s="41"/>
      <c r="L1226" s="41"/>
    </row>
    <row r="1227" spans="5:12" s="39" customFormat="1" x14ac:dyDescent="0.3">
      <c r="E1227" s="41"/>
      <c r="F1227" s="41"/>
      <c r="G1227" s="41"/>
      <c r="H1227" s="41"/>
      <c r="I1227" s="41"/>
      <c r="J1227" s="41"/>
      <c r="K1227" s="41"/>
      <c r="L1227" s="41"/>
    </row>
    <row r="1228" spans="5:12" s="39" customFormat="1" x14ac:dyDescent="0.3">
      <c r="E1228" s="41"/>
      <c r="F1228" s="41"/>
      <c r="G1228" s="41"/>
      <c r="H1228" s="41"/>
      <c r="I1228" s="41"/>
      <c r="J1228" s="41"/>
      <c r="K1228" s="41"/>
      <c r="L1228" s="41"/>
    </row>
    <row r="1229" spans="5:12" s="39" customFormat="1" x14ac:dyDescent="0.3">
      <c r="E1229" s="41"/>
      <c r="F1229" s="41"/>
      <c r="G1229" s="41"/>
      <c r="H1229" s="41"/>
      <c r="I1229" s="41"/>
      <c r="J1229" s="41"/>
      <c r="K1229" s="41"/>
      <c r="L1229" s="41"/>
    </row>
    <row r="1230" spans="5:12" s="39" customFormat="1" x14ac:dyDescent="0.3">
      <c r="E1230" s="41"/>
      <c r="F1230" s="41"/>
      <c r="G1230" s="41"/>
      <c r="H1230" s="41"/>
      <c r="I1230" s="41"/>
      <c r="J1230" s="41"/>
      <c r="K1230" s="41"/>
      <c r="L1230" s="41"/>
    </row>
    <row r="1231" spans="5:12" s="39" customFormat="1" x14ac:dyDescent="0.3">
      <c r="E1231" s="41"/>
      <c r="F1231" s="41"/>
      <c r="G1231" s="41"/>
      <c r="H1231" s="41"/>
      <c r="I1231" s="41"/>
      <c r="J1231" s="41"/>
      <c r="K1231" s="41"/>
      <c r="L1231" s="41"/>
    </row>
    <row r="1232" spans="5:12" s="39" customFormat="1" x14ac:dyDescent="0.3">
      <c r="E1232" s="41"/>
      <c r="F1232" s="41"/>
      <c r="G1232" s="41"/>
      <c r="H1232" s="41"/>
      <c r="I1232" s="41"/>
      <c r="J1232" s="41"/>
      <c r="K1232" s="41"/>
      <c r="L1232" s="41"/>
    </row>
    <row r="1233" spans="5:12" s="39" customFormat="1" x14ac:dyDescent="0.3">
      <c r="E1233" s="41"/>
      <c r="F1233" s="41"/>
      <c r="G1233" s="41"/>
      <c r="H1233" s="41"/>
      <c r="I1233" s="41"/>
      <c r="J1233" s="41"/>
      <c r="K1233" s="41"/>
      <c r="L1233" s="41"/>
    </row>
    <row r="1234" spans="5:12" s="39" customFormat="1" x14ac:dyDescent="0.3">
      <c r="E1234" s="41"/>
      <c r="F1234" s="41"/>
      <c r="G1234" s="41"/>
      <c r="H1234" s="41"/>
      <c r="I1234" s="41"/>
      <c r="J1234" s="41"/>
      <c r="K1234" s="41"/>
      <c r="L1234" s="41"/>
    </row>
    <row r="1235" spans="5:12" s="39" customFormat="1" x14ac:dyDescent="0.3">
      <c r="E1235" s="41"/>
      <c r="F1235" s="41"/>
      <c r="G1235" s="41"/>
      <c r="H1235" s="41"/>
      <c r="I1235" s="41"/>
      <c r="J1235" s="41"/>
      <c r="K1235" s="41"/>
      <c r="L1235" s="41"/>
    </row>
    <row r="1236" spans="5:12" s="39" customFormat="1" x14ac:dyDescent="0.3">
      <c r="E1236" s="41"/>
      <c r="F1236" s="41"/>
      <c r="G1236" s="41"/>
      <c r="H1236" s="41"/>
      <c r="I1236" s="41"/>
      <c r="J1236" s="41"/>
      <c r="K1236" s="41"/>
      <c r="L1236" s="41"/>
    </row>
    <row r="1237" spans="5:12" s="39" customFormat="1" x14ac:dyDescent="0.3">
      <c r="E1237" s="41"/>
      <c r="F1237" s="41"/>
      <c r="G1237" s="41"/>
      <c r="H1237" s="41"/>
      <c r="I1237" s="41"/>
      <c r="J1237" s="41"/>
      <c r="K1237" s="41"/>
      <c r="L1237" s="41"/>
    </row>
    <row r="1238" spans="5:12" s="39" customFormat="1" x14ac:dyDescent="0.3">
      <c r="E1238" s="41"/>
      <c r="F1238" s="41"/>
      <c r="G1238" s="41"/>
      <c r="H1238" s="41"/>
      <c r="I1238" s="41"/>
      <c r="J1238" s="41"/>
      <c r="K1238" s="41"/>
      <c r="L1238" s="41"/>
    </row>
    <row r="1239" spans="5:12" s="39" customFormat="1" x14ac:dyDescent="0.3">
      <c r="E1239" s="41"/>
      <c r="F1239" s="41"/>
      <c r="G1239" s="41"/>
      <c r="H1239" s="41"/>
      <c r="I1239" s="41"/>
      <c r="J1239" s="41"/>
      <c r="K1239" s="41"/>
      <c r="L1239" s="41"/>
    </row>
    <row r="1240" spans="5:12" s="39" customFormat="1" x14ac:dyDescent="0.3">
      <c r="E1240" s="41"/>
      <c r="F1240" s="41"/>
      <c r="G1240" s="41"/>
      <c r="H1240" s="41"/>
      <c r="I1240" s="41"/>
      <c r="J1240" s="41"/>
      <c r="K1240" s="41"/>
      <c r="L1240" s="41"/>
    </row>
    <row r="1241" spans="5:12" s="39" customFormat="1" x14ac:dyDescent="0.3">
      <c r="E1241" s="41"/>
      <c r="F1241" s="41"/>
      <c r="G1241" s="41"/>
      <c r="H1241" s="41"/>
      <c r="I1241" s="41"/>
      <c r="J1241" s="41"/>
      <c r="K1241" s="41"/>
      <c r="L1241" s="41"/>
    </row>
    <row r="1242" spans="5:12" s="39" customFormat="1" x14ac:dyDescent="0.3">
      <c r="E1242" s="41"/>
      <c r="F1242" s="41"/>
      <c r="G1242" s="41"/>
      <c r="H1242" s="41"/>
      <c r="I1242" s="41"/>
      <c r="J1242" s="41"/>
      <c r="K1242" s="41"/>
      <c r="L1242" s="41"/>
    </row>
    <row r="1243" spans="5:12" s="39" customFormat="1" x14ac:dyDescent="0.3">
      <c r="E1243" s="41"/>
      <c r="F1243" s="41"/>
      <c r="G1243" s="41"/>
      <c r="H1243" s="41"/>
      <c r="I1243" s="41"/>
      <c r="J1243" s="41"/>
      <c r="K1243" s="41"/>
      <c r="L1243" s="41"/>
    </row>
    <row r="1244" spans="5:12" s="39" customFormat="1" x14ac:dyDescent="0.3">
      <c r="E1244" s="41"/>
      <c r="F1244" s="41"/>
      <c r="G1244" s="41"/>
      <c r="H1244" s="41"/>
      <c r="I1244" s="41"/>
      <c r="J1244" s="41"/>
      <c r="K1244" s="41"/>
      <c r="L1244" s="41"/>
    </row>
    <row r="1245" spans="5:12" s="39" customFormat="1" x14ac:dyDescent="0.3">
      <c r="E1245" s="41"/>
      <c r="F1245" s="41"/>
      <c r="G1245" s="41"/>
      <c r="H1245" s="41"/>
      <c r="I1245" s="41"/>
      <c r="J1245" s="41"/>
      <c r="K1245" s="41"/>
      <c r="L1245" s="41"/>
    </row>
    <row r="1246" spans="5:12" s="39" customFormat="1" x14ac:dyDescent="0.3">
      <c r="E1246" s="41"/>
      <c r="F1246" s="41"/>
      <c r="G1246" s="41"/>
      <c r="H1246" s="41"/>
      <c r="I1246" s="41"/>
      <c r="J1246" s="41"/>
      <c r="K1246" s="41"/>
      <c r="L1246" s="41"/>
    </row>
    <row r="1247" spans="5:12" s="39" customFormat="1" x14ac:dyDescent="0.3">
      <c r="E1247" s="41"/>
      <c r="F1247" s="41"/>
      <c r="G1247" s="41"/>
      <c r="H1247" s="41"/>
      <c r="I1247" s="41"/>
      <c r="J1247" s="41"/>
      <c r="K1247" s="41"/>
      <c r="L1247" s="41"/>
    </row>
    <row r="1248" spans="5:12" s="39" customFormat="1" x14ac:dyDescent="0.3">
      <c r="E1248" s="41"/>
      <c r="F1248" s="41"/>
      <c r="G1248" s="41"/>
      <c r="H1248" s="41"/>
      <c r="I1248" s="41"/>
      <c r="J1248" s="41"/>
      <c r="K1248" s="41"/>
      <c r="L1248" s="41"/>
    </row>
    <row r="1249" spans="5:12" s="39" customFormat="1" x14ac:dyDescent="0.3">
      <c r="E1249" s="41"/>
      <c r="F1249" s="41"/>
      <c r="G1249" s="41"/>
      <c r="H1249" s="41"/>
      <c r="I1249" s="41"/>
      <c r="J1249" s="41"/>
      <c r="K1249" s="41"/>
      <c r="L1249" s="41"/>
    </row>
    <row r="1250" spans="5:12" s="39" customFormat="1" x14ac:dyDescent="0.3">
      <c r="E1250" s="41"/>
      <c r="F1250" s="41"/>
      <c r="G1250" s="41"/>
      <c r="H1250" s="41"/>
      <c r="I1250" s="41"/>
      <c r="J1250" s="41"/>
      <c r="K1250" s="41"/>
      <c r="L1250" s="41"/>
    </row>
    <row r="1251" spans="5:12" s="39" customFormat="1" x14ac:dyDescent="0.3">
      <c r="E1251" s="41"/>
      <c r="F1251" s="41"/>
      <c r="G1251" s="41"/>
      <c r="H1251" s="41"/>
      <c r="I1251" s="41"/>
      <c r="J1251" s="41"/>
      <c r="K1251" s="41"/>
      <c r="L1251" s="41"/>
    </row>
    <row r="1252" spans="5:12" s="39" customFormat="1" x14ac:dyDescent="0.3">
      <c r="E1252" s="41"/>
      <c r="F1252" s="41"/>
      <c r="G1252" s="41"/>
      <c r="H1252" s="41"/>
      <c r="I1252" s="41"/>
      <c r="J1252" s="41"/>
      <c r="K1252" s="41"/>
      <c r="L1252" s="41"/>
    </row>
    <row r="1253" spans="5:12" s="39" customFormat="1" x14ac:dyDescent="0.3">
      <c r="E1253" s="41"/>
      <c r="F1253" s="41"/>
      <c r="G1253" s="41"/>
      <c r="H1253" s="41"/>
      <c r="I1253" s="41"/>
      <c r="J1253" s="41"/>
      <c r="K1253" s="41"/>
      <c r="L1253" s="41"/>
    </row>
    <row r="1254" spans="5:12" s="39" customFormat="1" x14ac:dyDescent="0.3">
      <c r="E1254" s="41"/>
      <c r="F1254" s="41"/>
      <c r="G1254" s="41"/>
      <c r="H1254" s="41"/>
      <c r="I1254" s="41"/>
      <c r="J1254" s="41"/>
      <c r="K1254" s="41"/>
      <c r="L1254" s="41"/>
    </row>
    <row r="1255" spans="5:12" s="39" customFormat="1" x14ac:dyDescent="0.3">
      <c r="E1255" s="41"/>
      <c r="F1255" s="41"/>
      <c r="G1255" s="41"/>
      <c r="H1255" s="41"/>
      <c r="I1255" s="41"/>
      <c r="J1255" s="41"/>
      <c r="K1255" s="41"/>
      <c r="L1255" s="41"/>
    </row>
    <row r="1256" spans="5:12" s="39" customFormat="1" x14ac:dyDescent="0.3">
      <c r="E1256" s="41"/>
      <c r="F1256" s="41"/>
      <c r="G1256" s="41"/>
      <c r="H1256" s="41"/>
      <c r="I1256" s="41"/>
      <c r="J1256" s="41"/>
      <c r="K1256" s="41"/>
      <c r="L1256" s="41"/>
    </row>
    <row r="1257" spans="5:12" s="39" customFormat="1" x14ac:dyDescent="0.3">
      <c r="E1257" s="41"/>
      <c r="F1257" s="41"/>
      <c r="G1257" s="41"/>
      <c r="H1257" s="41"/>
      <c r="I1257" s="41"/>
      <c r="J1257" s="41"/>
      <c r="K1257" s="41"/>
      <c r="L1257" s="41"/>
    </row>
    <row r="1258" spans="5:12" s="39" customFormat="1" x14ac:dyDescent="0.3">
      <c r="E1258" s="41"/>
      <c r="F1258" s="41"/>
      <c r="G1258" s="41"/>
      <c r="H1258" s="41"/>
      <c r="I1258" s="41"/>
      <c r="J1258" s="41"/>
      <c r="K1258" s="41"/>
      <c r="L1258" s="41"/>
    </row>
    <row r="1259" spans="5:12" s="39" customFormat="1" x14ac:dyDescent="0.3">
      <c r="E1259" s="41"/>
      <c r="F1259" s="41"/>
      <c r="G1259" s="41"/>
      <c r="H1259" s="41"/>
      <c r="I1259" s="41"/>
      <c r="J1259" s="41"/>
      <c r="K1259" s="41"/>
      <c r="L1259" s="41"/>
    </row>
    <row r="1260" spans="5:12" s="39" customFormat="1" x14ac:dyDescent="0.3">
      <c r="E1260" s="41"/>
      <c r="F1260" s="41"/>
      <c r="G1260" s="41"/>
      <c r="H1260" s="41"/>
      <c r="I1260" s="41"/>
      <c r="J1260" s="41"/>
      <c r="K1260" s="41"/>
      <c r="L1260" s="41"/>
    </row>
    <row r="1261" spans="5:12" s="39" customFormat="1" x14ac:dyDescent="0.3">
      <c r="E1261" s="41"/>
      <c r="F1261" s="41"/>
      <c r="G1261" s="41"/>
      <c r="H1261" s="41"/>
      <c r="I1261" s="41"/>
      <c r="J1261" s="41"/>
      <c r="K1261" s="41"/>
      <c r="L1261" s="41"/>
    </row>
    <row r="1262" spans="5:12" s="39" customFormat="1" x14ac:dyDescent="0.3">
      <c r="E1262" s="41"/>
      <c r="F1262" s="41"/>
      <c r="G1262" s="41"/>
      <c r="H1262" s="41"/>
      <c r="I1262" s="41"/>
      <c r="J1262" s="41"/>
      <c r="K1262" s="41"/>
      <c r="L1262" s="41"/>
    </row>
    <row r="1263" spans="5:12" s="39" customFormat="1" x14ac:dyDescent="0.3">
      <c r="E1263" s="41"/>
      <c r="F1263" s="41"/>
      <c r="G1263" s="41"/>
      <c r="H1263" s="41"/>
      <c r="I1263" s="41"/>
      <c r="J1263" s="41"/>
      <c r="K1263" s="41"/>
      <c r="L1263" s="41"/>
    </row>
    <row r="1264" spans="5:12" s="39" customFormat="1" x14ac:dyDescent="0.3">
      <c r="E1264" s="41"/>
      <c r="F1264" s="41"/>
      <c r="G1264" s="41"/>
      <c r="H1264" s="41"/>
      <c r="I1264" s="41"/>
      <c r="J1264" s="41"/>
      <c r="K1264" s="41"/>
      <c r="L1264" s="41"/>
    </row>
    <row r="1265" spans="5:12" s="39" customFormat="1" x14ac:dyDescent="0.3">
      <c r="E1265" s="41"/>
      <c r="F1265" s="41"/>
      <c r="G1265" s="41"/>
      <c r="H1265" s="41"/>
      <c r="I1265" s="41"/>
      <c r="J1265" s="41"/>
      <c r="K1265" s="41"/>
      <c r="L1265" s="41"/>
    </row>
    <row r="1266" spans="5:12" s="39" customFormat="1" x14ac:dyDescent="0.3">
      <c r="E1266" s="41"/>
      <c r="F1266" s="41"/>
      <c r="G1266" s="41"/>
      <c r="H1266" s="41"/>
      <c r="I1266" s="41"/>
      <c r="J1266" s="41"/>
      <c r="K1266" s="41"/>
      <c r="L1266" s="41"/>
    </row>
    <row r="1267" spans="5:12" s="39" customFormat="1" x14ac:dyDescent="0.3">
      <c r="E1267" s="41"/>
      <c r="F1267" s="41"/>
      <c r="G1267" s="41"/>
      <c r="H1267" s="41"/>
      <c r="I1267" s="41"/>
      <c r="J1267" s="41"/>
      <c r="K1267" s="41"/>
      <c r="L1267" s="41"/>
    </row>
    <row r="1268" spans="5:12" s="39" customFormat="1" x14ac:dyDescent="0.3">
      <c r="E1268" s="41"/>
      <c r="F1268" s="41"/>
      <c r="G1268" s="41"/>
      <c r="H1268" s="41"/>
      <c r="I1268" s="41"/>
      <c r="J1268" s="41"/>
      <c r="K1268" s="41"/>
      <c r="L1268" s="41"/>
    </row>
    <row r="1269" spans="5:12" s="39" customFormat="1" x14ac:dyDescent="0.3">
      <c r="E1269" s="41"/>
      <c r="F1269" s="41"/>
      <c r="G1269" s="41"/>
      <c r="H1269" s="41"/>
      <c r="I1269" s="41"/>
      <c r="J1269" s="41"/>
      <c r="K1269" s="41"/>
      <c r="L1269" s="41"/>
    </row>
    <row r="1270" spans="5:12" s="39" customFormat="1" x14ac:dyDescent="0.3">
      <c r="E1270" s="41"/>
      <c r="F1270" s="41"/>
      <c r="G1270" s="41"/>
      <c r="H1270" s="41"/>
      <c r="I1270" s="41"/>
      <c r="J1270" s="41"/>
      <c r="K1270" s="41"/>
      <c r="L1270" s="41"/>
    </row>
    <row r="1271" spans="5:12" s="39" customFormat="1" x14ac:dyDescent="0.3">
      <c r="E1271" s="41"/>
      <c r="F1271" s="41"/>
      <c r="G1271" s="41"/>
      <c r="H1271" s="41"/>
      <c r="I1271" s="41"/>
      <c r="J1271" s="41"/>
      <c r="K1271" s="41"/>
      <c r="L1271" s="41"/>
    </row>
    <row r="1272" spans="5:12" s="39" customFormat="1" x14ac:dyDescent="0.3">
      <c r="E1272" s="41"/>
      <c r="F1272" s="41"/>
      <c r="G1272" s="41"/>
      <c r="H1272" s="41"/>
      <c r="I1272" s="41"/>
      <c r="J1272" s="41"/>
      <c r="K1272" s="41"/>
      <c r="L1272" s="41"/>
    </row>
    <row r="1273" spans="5:12" s="39" customFormat="1" x14ac:dyDescent="0.3">
      <c r="E1273" s="41"/>
      <c r="F1273" s="41"/>
      <c r="G1273" s="41"/>
      <c r="H1273" s="41"/>
      <c r="I1273" s="41"/>
      <c r="J1273" s="41"/>
      <c r="K1273" s="41"/>
      <c r="L1273" s="41"/>
    </row>
    <row r="1274" spans="5:12" s="39" customFormat="1" x14ac:dyDescent="0.3">
      <c r="E1274" s="41"/>
      <c r="F1274" s="41"/>
      <c r="G1274" s="41"/>
      <c r="H1274" s="41"/>
      <c r="I1274" s="41"/>
      <c r="J1274" s="41"/>
      <c r="K1274" s="41"/>
      <c r="L1274" s="41"/>
    </row>
    <row r="1275" spans="5:12" s="39" customFormat="1" x14ac:dyDescent="0.3">
      <c r="E1275" s="41"/>
      <c r="F1275" s="41"/>
      <c r="G1275" s="41"/>
      <c r="H1275" s="41"/>
      <c r="I1275" s="41"/>
      <c r="J1275" s="41"/>
      <c r="K1275" s="41"/>
      <c r="L1275" s="41"/>
    </row>
    <row r="1276" spans="5:12" s="39" customFormat="1" x14ac:dyDescent="0.3">
      <c r="E1276" s="41"/>
      <c r="F1276" s="41"/>
      <c r="G1276" s="41"/>
      <c r="H1276" s="41"/>
      <c r="I1276" s="41"/>
      <c r="J1276" s="41"/>
      <c r="K1276" s="41"/>
      <c r="L1276" s="41"/>
    </row>
    <row r="1277" spans="5:12" s="39" customFormat="1" x14ac:dyDescent="0.3">
      <c r="E1277" s="41"/>
      <c r="F1277" s="41"/>
      <c r="G1277" s="41"/>
      <c r="H1277" s="41"/>
      <c r="I1277" s="41"/>
      <c r="J1277" s="41"/>
      <c r="K1277" s="41"/>
      <c r="L1277" s="41"/>
    </row>
    <row r="1278" spans="5:12" s="39" customFormat="1" x14ac:dyDescent="0.3">
      <c r="E1278" s="41"/>
      <c r="F1278" s="41"/>
      <c r="G1278" s="41"/>
      <c r="H1278" s="41"/>
      <c r="I1278" s="41"/>
      <c r="J1278" s="41"/>
      <c r="K1278" s="41"/>
      <c r="L1278" s="41"/>
    </row>
    <row r="1279" spans="5:12" s="39" customFormat="1" x14ac:dyDescent="0.3">
      <c r="E1279" s="41"/>
      <c r="F1279" s="41"/>
      <c r="G1279" s="41"/>
      <c r="H1279" s="41"/>
      <c r="I1279" s="41"/>
      <c r="J1279" s="41"/>
      <c r="K1279" s="41"/>
      <c r="L1279" s="41"/>
    </row>
    <row r="1280" spans="5:12" s="39" customFormat="1" x14ac:dyDescent="0.3">
      <c r="E1280" s="41"/>
      <c r="F1280" s="41"/>
      <c r="G1280" s="41"/>
      <c r="H1280" s="41"/>
      <c r="I1280" s="41"/>
      <c r="J1280" s="41"/>
      <c r="K1280" s="41"/>
      <c r="L1280" s="41"/>
    </row>
    <row r="1281" spans="5:12" s="39" customFormat="1" x14ac:dyDescent="0.3">
      <c r="E1281" s="41"/>
      <c r="F1281" s="41"/>
      <c r="G1281" s="41"/>
      <c r="H1281" s="41"/>
      <c r="I1281" s="41"/>
      <c r="J1281" s="41"/>
      <c r="K1281" s="41"/>
      <c r="L1281" s="41"/>
    </row>
    <row r="1282" spans="5:12" s="39" customFormat="1" x14ac:dyDescent="0.3">
      <c r="E1282" s="41"/>
      <c r="F1282" s="41"/>
      <c r="G1282" s="41"/>
      <c r="H1282" s="41"/>
      <c r="I1282" s="41"/>
      <c r="J1282" s="41"/>
      <c r="K1282" s="41"/>
      <c r="L1282" s="41"/>
    </row>
    <row r="1283" spans="5:12" s="39" customFormat="1" x14ac:dyDescent="0.3">
      <c r="E1283" s="41"/>
      <c r="F1283" s="41"/>
      <c r="G1283" s="41"/>
      <c r="H1283" s="41"/>
      <c r="I1283" s="41"/>
      <c r="J1283" s="41"/>
      <c r="K1283" s="41"/>
      <c r="L1283" s="41"/>
    </row>
    <row r="1284" spans="5:12" s="39" customFormat="1" x14ac:dyDescent="0.3">
      <c r="E1284" s="41"/>
      <c r="F1284" s="41"/>
      <c r="G1284" s="41"/>
      <c r="H1284" s="41"/>
      <c r="I1284" s="41"/>
      <c r="J1284" s="41"/>
      <c r="K1284" s="41"/>
      <c r="L1284" s="41"/>
    </row>
    <row r="1285" spans="5:12" s="39" customFormat="1" x14ac:dyDescent="0.3">
      <c r="E1285" s="41"/>
      <c r="F1285" s="41"/>
      <c r="G1285" s="41"/>
      <c r="H1285" s="41"/>
      <c r="I1285" s="41"/>
      <c r="J1285" s="41"/>
      <c r="K1285" s="41"/>
      <c r="L1285" s="41"/>
    </row>
    <row r="1286" spans="5:12" s="39" customFormat="1" x14ac:dyDescent="0.3">
      <c r="E1286" s="41"/>
      <c r="F1286" s="41"/>
      <c r="G1286" s="41"/>
      <c r="H1286" s="41"/>
      <c r="I1286" s="41"/>
      <c r="J1286" s="41"/>
      <c r="K1286" s="41"/>
      <c r="L1286" s="41"/>
    </row>
    <row r="1287" spans="5:12" s="39" customFormat="1" x14ac:dyDescent="0.3">
      <c r="E1287" s="41"/>
      <c r="F1287" s="41"/>
      <c r="G1287" s="41"/>
      <c r="H1287" s="41"/>
      <c r="I1287" s="41"/>
      <c r="J1287" s="41"/>
      <c r="K1287" s="41"/>
      <c r="L1287" s="41"/>
    </row>
    <row r="1288" spans="5:12" s="39" customFormat="1" x14ac:dyDescent="0.3">
      <c r="E1288" s="41"/>
      <c r="F1288" s="41"/>
      <c r="G1288" s="41"/>
      <c r="H1288" s="41"/>
      <c r="I1288" s="41"/>
      <c r="J1288" s="41"/>
      <c r="K1288" s="41"/>
      <c r="L1288" s="41"/>
    </row>
    <row r="1289" spans="5:12" s="39" customFormat="1" x14ac:dyDescent="0.3">
      <c r="E1289" s="41"/>
      <c r="F1289" s="41"/>
      <c r="G1289" s="41"/>
      <c r="H1289" s="41"/>
      <c r="I1289" s="41"/>
      <c r="J1289" s="41"/>
      <c r="K1289" s="41"/>
      <c r="L1289" s="41"/>
    </row>
    <row r="1290" spans="5:12" s="39" customFormat="1" x14ac:dyDescent="0.3">
      <c r="E1290" s="41"/>
      <c r="F1290" s="41"/>
      <c r="G1290" s="41"/>
      <c r="H1290" s="41"/>
      <c r="I1290" s="41"/>
      <c r="J1290" s="41"/>
      <c r="K1290" s="41"/>
      <c r="L1290" s="41"/>
    </row>
    <row r="1291" spans="5:12" s="39" customFormat="1" x14ac:dyDescent="0.3">
      <c r="E1291" s="41"/>
      <c r="F1291" s="41"/>
      <c r="G1291" s="41"/>
      <c r="H1291" s="41"/>
      <c r="I1291" s="41"/>
      <c r="J1291" s="41"/>
      <c r="K1291" s="41"/>
      <c r="L1291" s="41"/>
    </row>
    <row r="1292" spans="5:12" s="39" customFormat="1" x14ac:dyDescent="0.3">
      <c r="E1292" s="41"/>
      <c r="F1292" s="41"/>
      <c r="G1292" s="41"/>
      <c r="H1292" s="41"/>
      <c r="I1292" s="41"/>
      <c r="J1292" s="41"/>
      <c r="K1292" s="41"/>
      <c r="L1292" s="41"/>
    </row>
    <row r="1293" spans="5:12" s="39" customFormat="1" x14ac:dyDescent="0.3">
      <c r="E1293" s="41"/>
      <c r="F1293" s="41"/>
      <c r="G1293" s="41"/>
      <c r="H1293" s="41"/>
      <c r="I1293" s="41"/>
      <c r="J1293" s="41"/>
      <c r="K1293" s="41"/>
      <c r="L1293" s="41"/>
    </row>
    <row r="1294" spans="5:12" s="39" customFormat="1" x14ac:dyDescent="0.3">
      <c r="E1294" s="41"/>
      <c r="F1294" s="41"/>
      <c r="G1294" s="41"/>
      <c r="H1294" s="41"/>
      <c r="I1294" s="41"/>
      <c r="J1294" s="41"/>
      <c r="K1294" s="41"/>
      <c r="L1294" s="41"/>
    </row>
    <row r="1295" spans="5:12" s="39" customFormat="1" x14ac:dyDescent="0.3">
      <c r="E1295" s="41"/>
      <c r="F1295" s="41"/>
      <c r="G1295" s="41"/>
      <c r="H1295" s="41"/>
      <c r="I1295" s="41"/>
      <c r="J1295" s="41"/>
      <c r="K1295" s="41"/>
      <c r="L1295" s="41"/>
    </row>
    <row r="1296" spans="5:12" s="39" customFormat="1" x14ac:dyDescent="0.3">
      <c r="E1296" s="41"/>
      <c r="F1296" s="41"/>
      <c r="G1296" s="41"/>
      <c r="H1296" s="41"/>
      <c r="I1296" s="41"/>
      <c r="J1296" s="41"/>
      <c r="K1296" s="41"/>
      <c r="L1296" s="41"/>
    </row>
    <row r="1297" spans="5:12" s="39" customFormat="1" x14ac:dyDescent="0.3">
      <c r="E1297" s="41"/>
      <c r="F1297" s="41"/>
      <c r="G1297" s="41"/>
      <c r="H1297" s="41"/>
      <c r="I1297" s="41"/>
      <c r="J1297" s="41"/>
      <c r="K1297" s="41"/>
      <c r="L1297" s="41"/>
    </row>
    <row r="1298" spans="5:12" s="39" customFormat="1" x14ac:dyDescent="0.3">
      <c r="E1298" s="41"/>
      <c r="F1298" s="41"/>
      <c r="G1298" s="41"/>
      <c r="H1298" s="41"/>
      <c r="I1298" s="41"/>
      <c r="J1298" s="41"/>
      <c r="K1298" s="41"/>
      <c r="L1298" s="41"/>
    </row>
    <row r="1299" spans="5:12" s="39" customFormat="1" x14ac:dyDescent="0.3">
      <c r="E1299" s="41"/>
      <c r="F1299" s="41"/>
      <c r="G1299" s="41"/>
      <c r="H1299" s="41"/>
      <c r="I1299" s="41"/>
      <c r="J1299" s="41"/>
      <c r="K1299" s="41"/>
      <c r="L1299" s="41"/>
    </row>
    <row r="1300" spans="5:12" s="39" customFormat="1" x14ac:dyDescent="0.3">
      <c r="E1300" s="41"/>
      <c r="F1300" s="41"/>
      <c r="G1300" s="41"/>
      <c r="H1300" s="41"/>
      <c r="I1300" s="41"/>
      <c r="J1300" s="41"/>
      <c r="K1300" s="41"/>
      <c r="L1300" s="41"/>
    </row>
    <row r="1301" spans="5:12" s="39" customFormat="1" x14ac:dyDescent="0.3">
      <c r="E1301" s="41"/>
      <c r="F1301" s="41"/>
      <c r="G1301" s="41"/>
      <c r="H1301" s="41"/>
      <c r="I1301" s="41"/>
      <c r="J1301" s="41"/>
      <c r="K1301" s="41"/>
      <c r="L1301" s="41"/>
    </row>
    <row r="1302" spans="5:12" s="39" customFormat="1" x14ac:dyDescent="0.3">
      <c r="E1302" s="41"/>
      <c r="F1302" s="41"/>
      <c r="G1302" s="41"/>
      <c r="H1302" s="41"/>
      <c r="I1302" s="41"/>
      <c r="J1302" s="41"/>
      <c r="K1302" s="41"/>
      <c r="L1302" s="41"/>
    </row>
    <row r="1303" spans="5:12" s="39" customFormat="1" x14ac:dyDescent="0.3">
      <c r="E1303" s="41"/>
      <c r="F1303" s="41"/>
      <c r="G1303" s="41"/>
      <c r="H1303" s="41"/>
      <c r="I1303" s="41"/>
      <c r="J1303" s="41"/>
      <c r="K1303" s="41"/>
      <c r="L1303" s="41"/>
    </row>
    <row r="1304" spans="5:12" s="39" customFormat="1" x14ac:dyDescent="0.3">
      <c r="E1304" s="41"/>
      <c r="F1304" s="41"/>
      <c r="G1304" s="41"/>
      <c r="H1304" s="41"/>
      <c r="I1304" s="41"/>
      <c r="J1304" s="41"/>
      <c r="K1304" s="41"/>
      <c r="L1304" s="41"/>
    </row>
    <row r="1305" spans="5:12" s="39" customFormat="1" x14ac:dyDescent="0.3">
      <c r="E1305" s="41"/>
      <c r="F1305" s="41"/>
      <c r="G1305" s="41"/>
      <c r="H1305" s="41"/>
      <c r="I1305" s="41"/>
      <c r="J1305" s="41"/>
      <c r="K1305" s="41"/>
      <c r="L1305" s="41"/>
    </row>
    <row r="1306" spans="5:12" s="39" customFormat="1" x14ac:dyDescent="0.3">
      <c r="E1306" s="41"/>
      <c r="F1306" s="41"/>
      <c r="G1306" s="41"/>
      <c r="H1306" s="41"/>
      <c r="I1306" s="41"/>
      <c r="J1306" s="41"/>
      <c r="K1306" s="41"/>
      <c r="L1306" s="41"/>
    </row>
    <row r="1307" spans="5:12" s="39" customFormat="1" x14ac:dyDescent="0.3">
      <c r="E1307" s="41"/>
      <c r="F1307" s="41"/>
      <c r="G1307" s="41"/>
      <c r="H1307" s="41"/>
      <c r="I1307" s="41"/>
      <c r="J1307" s="41"/>
      <c r="K1307" s="41"/>
      <c r="L1307" s="41"/>
    </row>
    <row r="1308" spans="5:12" s="39" customFormat="1" x14ac:dyDescent="0.3">
      <c r="E1308" s="41"/>
      <c r="F1308" s="41"/>
      <c r="G1308" s="41"/>
      <c r="H1308" s="41"/>
      <c r="I1308" s="41"/>
      <c r="J1308" s="41"/>
      <c r="K1308" s="41"/>
      <c r="L1308" s="41"/>
    </row>
    <row r="1309" spans="5:12" s="39" customFormat="1" x14ac:dyDescent="0.3">
      <c r="E1309" s="41"/>
      <c r="F1309" s="41"/>
      <c r="G1309" s="41"/>
      <c r="H1309" s="41"/>
      <c r="I1309" s="41"/>
      <c r="J1309" s="41"/>
      <c r="K1309" s="41"/>
      <c r="L1309" s="41"/>
    </row>
    <row r="1310" spans="5:12" s="39" customFormat="1" x14ac:dyDescent="0.3">
      <c r="E1310" s="41"/>
      <c r="F1310" s="41"/>
      <c r="G1310" s="41"/>
      <c r="H1310" s="41"/>
      <c r="I1310" s="41"/>
      <c r="J1310" s="41"/>
      <c r="K1310" s="41"/>
      <c r="L1310" s="41"/>
    </row>
    <row r="1311" spans="5:12" s="39" customFormat="1" x14ac:dyDescent="0.3">
      <c r="E1311" s="41"/>
      <c r="F1311" s="41"/>
      <c r="G1311" s="41"/>
      <c r="H1311" s="41"/>
      <c r="I1311" s="41"/>
      <c r="J1311" s="41"/>
      <c r="K1311" s="41"/>
      <c r="L1311" s="41"/>
    </row>
    <row r="1312" spans="5:12" s="39" customFormat="1" x14ac:dyDescent="0.3">
      <c r="E1312" s="41"/>
      <c r="F1312" s="41"/>
      <c r="G1312" s="41"/>
      <c r="H1312" s="41"/>
      <c r="I1312" s="41"/>
      <c r="J1312" s="41"/>
      <c r="K1312" s="41"/>
      <c r="L1312" s="41"/>
    </row>
    <row r="1313" spans="5:12" s="39" customFormat="1" x14ac:dyDescent="0.3">
      <c r="E1313" s="41"/>
      <c r="F1313" s="41"/>
      <c r="G1313" s="41"/>
      <c r="H1313" s="41"/>
      <c r="I1313" s="41"/>
      <c r="J1313" s="41"/>
      <c r="K1313" s="41"/>
      <c r="L1313" s="41"/>
    </row>
    <row r="1314" spans="5:12" s="39" customFormat="1" x14ac:dyDescent="0.3">
      <c r="E1314" s="41"/>
      <c r="F1314" s="41"/>
      <c r="G1314" s="41"/>
      <c r="H1314" s="41"/>
      <c r="I1314" s="41"/>
      <c r="J1314" s="41"/>
      <c r="K1314" s="41"/>
      <c r="L1314" s="41"/>
    </row>
    <row r="1315" spans="5:12" s="39" customFormat="1" x14ac:dyDescent="0.3">
      <c r="E1315" s="41"/>
      <c r="F1315" s="41"/>
      <c r="G1315" s="41"/>
      <c r="H1315" s="41"/>
      <c r="I1315" s="41"/>
      <c r="J1315" s="41"/>
      <c r="K1315" s="41"/>
      <c r="L1315" s="41"/>
    </row>
    <row r="1316" spans="5:12" s="39" customFormat="1" x14ac:dyDescent="0.3">
      <c r="E1316" s="41"/>
      <c r="F1316" s="41"/>
      <c r="G1316" s="41"/>
      <c r="H1316" s="41"/>
      <c r="I1316" s="41"/>
      <c r="J1316" s="41"/>
      <c r="K1316" s="41"/>
      <c r="L1316" s="41"/>
    </row>
    <row r="1317" spans="5:12" s="39" customFormat="1" x14ac:dyDescent="0.3">
      <c r="E1317" s="41"/>
      <c r="F1317" s="41"/>
      <c r="G1317" s="41"/>
      <c r="H1317" s="41"/>
      <c r="I1317" s="41"/>
      <c r="J1317" s="41"/>
      <c r="K1317" s="41"/>
      <c r="L1317" s="41"/>
    </row>
    <row r="1318" spans="5:12" s="39" customFormat="1" x14ac:dyDescent="0.3">
      <c r="E1318" s="41"/>
      <c r="F1318" s="41"/>
      <c r="G1318" s="41"/>
      <c r="H1318" s="41"/>
      <c r="I1318" s="41"/>
      <c r="J1318" s="41"/>
      <c r="K1318" s="41"/>
      <c r="L1318" s="41"/>
    </row>
    <row r="1319" spans="5:12" s="39" customFormat="1" x14ac:dyDescent="0.3">
      <c r="E1319" s="41"/>
      <c r="F1319" s="41"/>
      <c r="G1319" s="41"/>
      <c r="H1319" s="41"/>
      <c r="I1319" s="41"/>
      <c r="J1319" s="41"/>
      <c r="K1319" s="41"/>
      <c r="L1319" s="41"/>
    </row>
    <row r="1320" spans="5:12" s="39" customFormat="1" x14ac:dyDescent="0.3">
      <c r="E1320" s="41"/>
      <c r="F1320" s="41"/>
      <c r="G1320" s="41"/>
      <c r="H1320" s="41"/>
      <c r="I1320" s="41"/>
      <c r="J1320" s="41"/>
      <c r="K1320" s="41"/>
      <c r="L1320" s="41"/>
    </row>
    <row r="1321" spans="5:12" s="39" customFormat="1" x14ac:dyDescent="0.3">
      <c r="E1321" s="41"/>
      <c r="F1321" s="41"/>
      <c r="G1321" s="41"/>
      <c r="H1321" s="41"/>
      <c r="I1321" s="41"/>
      <c r="J1321" s="41"/>
      <c r="K1321" s="41"/>
      <c r="L1321" s="41"/>
    </row>
    <row r="1322" spans="5:12" s="39" customFormat="1" x14ac:dyDescent="0.3">
      <c r="E1322" s="41"/>
      <c r="F1322" s="41"/>
      <c r="G1322" s="41"/>
      <c r="H1322" s="41"/>
      <c r="I1322" s="41"/>
      <c r="J1322" s="41"/>
      <c r="K1322" s="41"/>
      <c r="L1322" s="41"/>
    </row>
    <row r="1323" spans="5:12" s="39" customFormat="1" x14ac:dyDescent="0.3">
      <c r="E1323" s="41"/>
      <c r="F1323" s="41"/>
      <c r="G1323" s="41"/>
      <c r="H1323" s="41"/>
      <c r="I1323" s="41"/>
      <c r="J1323" s="41"/>
      <c r="K1323" s="41"/>
      <c r="L1323" s="41"/>
    </row>
    <row r="1324" spans="5:12" s="39" customFormat="1" x14ac:dyDescent="0.3">
      <c r="E1324" s="41"/>
      <c r="F1324" s="41"/>
      <c r="G1324" s="41"/>
      <c r="H1324" s="41"/>
      <c r="I1324" s="41"/>
      <c r="J1324" s="41"/>
      <c r="K1324" s="41"/>
      <c r="L1324" s="41"/>
    </row>
    <row r="1325" spans="5:12" s="39" customFormat="1" x14ac:dyDescent="0.3">
      <c r="E1325" s="41"/>
      <c r="F1325" s="41"/>
      <c r="G1325" s="41"/>
      <c r="H1325" s="41"/>
      <c r="I1325" s="41"/>
      <c r="J1325" s="41"/>
      <c r="K1325" s="41"/>
      <c r="L1325" s="41"/>
    </row>
    <row r="1326" spans="5:12" s="39" customFormat="1" x14ac:dyDescent="0.3">
      <c r="E1326" s="41"/>
      <c r="F1326" s="41"/>
      <c r="G1326" s="41"/>
      <c r="H1326" s="41"/>
      <c r="I1326" s="41"/>
      <c r="J1326" s="41"/>
      <c r="K1326" s="41"/>
      <c r="L1326" s="41"/>
    </row>
    <row r="1327" spans="5:12" s="39" customFormat="1" x14ac:dyDescent="0.3">
      <c r="E1327" s="41"/>
      <c r="F1327" s="41"/>
      <c r="G1327" s="41"/>
      <c r="H1327" s="41"/>
      <c r="I1327" s="41"/>
      <c r="J1327" s="41"/>
      <c r="K1327" s="41"/>
      <c r="L1327" s="41"/>
    </row>
    <row r="1328" spans="5:12" s="39" customFormat="1" x14ac:dyDescent="0.3">
      <c r="E1328" s="41"/>
      <c r="F1328" s="41"/>
      <c r="G1328" s="41"/>
      <c r="H1328" s="41"/>
      <c r="I1328" s="41"/>
      <c r="J1328" s="41"/>
      <c r="K1328" s="41"/>
      <c r="L1328" s="41"/>
    </row>
    <row r="1329" spans="5:12" s="39" customFormat="1" x14ac:dyDescent="0.3">
      <c r="E1329" s="41"/>
      <c r="F1329" s="41"/>
      <c r="G1329" s="41"/>
      <c r="H1329" s="41"/>
      <c r="I1329" s="41"/>
      <c r="J1329" s="41"/>
      <c r="K1329" s="41"/>
      <c r="L1329" s="41"/>
    </row>
    <row r="1330" spans="5:12" s="39" customFormat="1" x14ac:dyDescent="0.3">
      <c r="E1330" s="41"/>
      <c r="F1330" s="41"/>
      <c r="G1330" s="41"/>
      <c r="H1330" s="41"/>
      <c r="I1330" s="41"/>
      <c r="J1330" s="41"/>
      <c r="K1330" s="41"/>
      <c r="L1330" s="41"/>
    </row>
    <row r="1331" spans="5:12" s="39" customFormat="1" x14ac:dyDescent="0.3">
      <c r="E1331" s="41"/>
      <c r="F1331" s="41"/>
      <c r="G1331" s="41"/>
      <c r="H1331" s="41"/>
      <c r="I1331" s="41"/>
      <c r="J1331" s="41"/>
      <c r="K1331" s="41"/>
      <c r="L1331" s="41"/>
    </row>
    <row r="1332" spans="5:12" s="39" customFormat="1" x14ac:dyDescent="0.3">
      <c r="E1332" s="41"/>
      <c r="F1332" s="41"/>
      <c r="G1332" s="41"/>
      <c r="H1332" s="41"/>
      <c r="I1332" s="41"/>
      <c r="J1332" s="41"/>
      <c r="K1332" s="41"/>
      <c r="L1332" s="41"/>
    </row>
    <row r="1333" spans="5:12" s="39" customFormat="1" x14ac:dyDescent="0.3">
      <c r="E1333" s="41"/>
      <c r="F1333" s="41"/>
      <c r="G1333" s="41"/>
      <c r="H1333" s="41"/>
      <c r="I1333" s="41"/>
      <c r="J1333" s="41"/>
      <c r="K1333" s="41"/>
      <c r="L1333" s="41"/>
    </row>
    <row r="1334" spans="5:12" s="39" customFormat="1" x14ac:dyDescent="0.3">
      <c r="E1334" s="41"/>
      <c r="F1334" s="41"/>
      <c r="G1334" s="41"/>
      <c r="H1334" s="41"/>
      <c r="I1334" s="41"/>
      <c r="J1334" s="41"/>
      <c r="K1334" s="41"/>
      <c r="L1334" s="41"/>
    </row>
    <row r="1335" spans="5:12" s="39" customFormat="1" x14ac:dyDescent="0.3">
      <c r="E1335" s="41"/>
      <c r="F1335" s="41"/>
      <c r="G1335" s="41"/>
      <c r="H1335" s="41"/>
      <c r="I1335" s="41"/>
      <c r="J1335" s="41"/>
      <c r="K1335" s="41"/>
      <c r="L1335" s="41"/>
    </row>
    <row r="1336" spans="5:12" s="39" customFormat="1" x14ac:dyDescent="0.3">
      <c r="E1336" s="41"/>
      <c r="F1336" s="41"/>
      <c r="G1336" s="41"/>
      <c r="H1336" s="41"/>
      <c r="I1336" s="41"/>
      <c r="J1336" s="41"/>
      <c r="K1336" s="41"/>
      <c r="L1336" s="41"/>
    </row>
    <row r="1337" spans="5:12" s="39" customFormat="1" x14ac:dyDescent="0.3">
      <c r="E1337" s="41"/>
      <c r="F1337" s="41"/>
      <c r="G1337" s="41"/>
      <c r="H1337" s="41"/>
      <c r="I1337" s="41"/>
      <c r="J1337" s="41"/>
      <c r="K1337" s="41"/>
      <c r="L1337" s="41"/>
    </row>
    <row r="1338" spans="5:12" s="39" customFormat="1" x14ac:dyDescent="0.3">
      <c r="E1338" s="41"/>
      <c r="F1338" s="41"/>
      <c r="G1338" s="41"/>
      <c r="H1338" s="41"/>
      <c r="I1338" s="41"/>
      <c r="J1338" s="41"/>
      <c r="K1338" s="41"/>
      <c r="L1338" s="41"/>
    </row>
    <row r="1339" spans="5:12" s="39" customFormat="1" x14ac:dyDescent="0.3">
      <c r="E1339" s="41"/>
      <c r="F1339" s="41"/>
      <c r="G1339" s="41"/>
      <c r="H1339" s="41"/>
      <c r="I1339" s="41"/>
      <c r="J1339" s="41"/>
      <c r="K1339" s="41"/>
      <c r="L1339" s="41"/>
    </row>
    <row r="1340" spans="5:12" s="39" customFormat="1" x14ac:dyDescent="0.3">
      <c r="E1340" s="41"/>
      <c r="F1340" s="41"/>
      <c r="G1340" s="41"/>
      <c r="H1340" s="41"/>
      <c r="I1340" s="41"/>
      <c r="J1340" s="41"/>
      <c r="K1340" s="41"/>
      <c r="L1340" s="41"/>
    </row>
    <row r="1341" spans="5:12" s="39" customFormat="1" x14ac:dyDescent="0.3">
      <c r="E1341" s="41"/>
      <c r="F1341" s="41"/>
      <c r="G1341" s="41"/>
      <c r="H1341" s="41"/>
      <c r="I1341" s="41"/>
      <c r="J1341" s="41"/>
      <c r="K1341" s="41"/>
      <c r="L1341" s="41"/>
    </row>
    <row r="1342" spans="5:12" s="39" customFormat="1" x14ac:dyDescent="0.3">
      <c r="E1342" s="41"/>
      <c r="F1342" s="41"/>
      <c r="G1342" s="41"/>
      <c r="H1342" s="41"/>
      <c r="I1342" s="41"/>
      <c r="J1342" s="41"/>
      <c r="K1342" s="41"/>
      <c r="L1342" s="41"/>
    </row>
    <row r="1343" spans="5:12" s="39" customFormat="1" x14ac:dyDescent="0.3">
      <c r="E1343" s="41"/>
      <c r="F1343" s="41"/>
      <c r="G1343" s="41"/>
      <c r="H1343" s="41"/>
      <c r="I1343" s="41"/>
      <c r="J1343" s="41"/>
      <c r="K1343" s="41"/>
      <c r="L1343" s="41"/>
    </row>
    <row r="1344" spans="5:12" s="39" customFormat="1" x14ac:dyDescent="0.3">
      <c r="E1344" s="41"/>
      <c r="F1344" s="41"/>
      <c r="G1344" s="41"/>
      <c r="H1344" s="41"/>
      <c r="I1344" s="41"/>
      <c r="J1344" s="41"/>
      <c r="K1344" s="41"/>
      <c r="L1344" s="41"/>
    </row>
    <row r="1345" spans="5:12" s="39" customFormat="1" x14ac:dyDescent="0.3">
      <c r="E1345" s="41"/>
      <c r="F1345" s="41"/>
      <c r="G1345" s="41"/>
      <c r="H1345" s="41"/>
      <c r="I1345" s="41"/>
      <c r="J1345" s="41"/>
      <c r="K1345" s="41"/>
      <c r="L1345" s="41"/>
    </row>
    <row r="1346" spans="5:12" s="39" customFormat="1" x14ac:dyDescent="0.3">
      <c r="E1346" s="41"/>
      <c r="F1346" s="41"/>
      <c r="G1346" s="41"/>
      <c r="H1346" s="41"/>
      <c r="I1346" s="41"/>
      <c r="J1346" s="41"/>
      <c r="K1346" s="41"/>
      <c r="L1346" s="41"/>
    </row>
    <row r="1347" spans="5:12" s="39" customFormat="1" x14ac:dyDescent="0.3">
      <c r="E1347" s="41"/>
      <c r="F1347" s="41"/>
      <c r="G1347" s="41"/>
      <c r="H1347" s="41"/>
      <c r="I1347" s="41"/>
      <c r="J1347" s="41"/>
      <c r="K1347" s="41"/>
      <c r="L1347" s="41"/>
    </row>
    <row r="1348" spans="5:12" s="39" customFormat="1" x14ac:dyDescent="0.3">
      <c r="E1348" s="41"/>
      <c r="F1348" s="41"/>
      <c r="G1348" s="41"/>
      <c r="H1348" s="41"/>
      <c r="I1348" s="41"/>
      <c r="J1348" s="41"/>
      <c r="K1348" s="41"/>
      <c r="L1348" s="41"/>
    </row>
    <row r="1349" spans="5:12" s="39" customFormat="1" x14ac:dyDescent="0.3">
      <c r="E1349" s="41"/>
      <c r="F1349" s="41"/>
      <c r="G1349" s="41"/>
      <c r="H1349" s="41"/>
      <c r="I1349" s="41"/>
      <c r="J1349" s="41"/>
      <c r="K1349" s="41"/>
      <c r="L1349" s="41"/>
    </row>
    <row r="1350" spans="5:12" s="39" customFormat="1" x14ac:dyDescent="0.3">
      <c r="E1350" s="41"/>
      <c r="F1350" s="41"/>
      <c r="G1350" s="41"/>
      <c r="H1350" s="41"/>
      <c r="I1350" s="41"/>
      <c r="J1350" s="41"/>
      <c r="K1350" s="41"/>
      <c r="L1350" s="41"/>
    </row>
    <row r="1351" spans="5:12" s="39" customFormat="1" x14ac:dyDescent="0.3">
      <c r="E1351" s="41"/>
      <c r="F1351" s="41"/>
      <c r="G1351" s="41"/>
      <c r="H1351" s="41"/>
      <c r="I1351" s="41"/>
      <c r="J1351" s="41"/>
      <c r="K1351" s="41"/>
      <c r="L1351" s="41"/>
    </row>
    <row r="1352" spans="5:12" s="39" customFormat="1" x14ac:dyDescent="0.3">
      <c r="E1352" s="41"/>
      <c r="F1352" s="41"/>
      <c r="G1352" s="41"/>
      <c r="H1352" s="41"/>
      <c r="I1352" s="41"/>
      <c r="J1352" s="41"/>
      <c r="K1352" s="41"/>
      <c r="L1352" s="41"/>
    </row>
    <row r="1353" spans="5:12" s="39" customFormat="1" x14ac:dyDescent="0.3">
      <c r="E1353" s="41"/>
      <c r="F1353" s="41"/>
      <c r="G1353" s="41"/>
      <c r="H1353" s="41"/>
      <c r="I1353" s="41"/>
      <c r="J1353" s="41"/>
      <c r="K1353" s="41"/>
      <c r="L1353" s="41"/>
    </row>
    <row r="1354" spans="5:12" s="39" customFormat="1" x14ac:dyDescent="0.3">
      <c r="E1354" s="41"/>
      <c r="F1354" s="41"/>
      <c r="G1354" s="41"/>
      <c r="H1354" s="41"/>
      <c r="I1354" s="41"/>
      <c r="J1354" s="41"/>
      <c r="K1354" s="41"/>
      <c r="L1354" s="41"/>
    </row>
    <row r="1355" spans="5:12" s="39" customFormat="1" x14ac:dyDescent="0.3">
      <c r="E1355" s="41"/>
      <c r="F1355" s="41"/>
      <c r="G1355" s="41"/>
      <c r="H1355" s="41"/>
      <c r="I1355" s="41"/>
      <c r="J1355" s="41"/>
      <c r="K1355" s="41"/>
      <c r="L1355" s="41"/>
    </row>
    <row r="1356" spans="5:12" s="39" customFormat="1" x14ac:dyDescent="0.3">
      <c r="E1356" s="41"/>
      <c r="F1356" s="41"/>
      <c r="G1356" s="41"/>
      <c r="H1356" s="41"/>
      <c r="I1356" s="41"/>
      <c r="J1356" s="41"/>
      <c r="K1356" s="41"/>
      <c r="L1356" s="41"/>
    </row>
    <row r="1357" spans="5:12" s="39" customFormat="1" x14ac:dyDescent="0.3">
      <c r="E1357" s="41"/>
      <c r="F1357" s="41"/>
      <c r="G1357" s="41"/>
      <c r="H1357" s="41"/>
      <c r="I1357" s="41"/>
      <c r="J1357" s="41"/>
      <c r="K1357" s="41"/>
      <c r="L1357" s="41"/>
    </row>
    <row r="1358" spans="5:12" s="39" customFormat="1" x14ac:dyDescent="0.3">
      <c r="E1358" s="41"/>
      <c r="F1358" s="41"/>
      <c r="G1358" s="41"/>
      <c r="H1358" s="41"/>
      <c r="I1358" s="41"/>
      <c r="J1358" s="41"/>
      <c r="K1358" s="41"/>
      <c r="L1358" s="41"/>
    </row>
    <row r="1359" spans="5:12" s="39" customFormat="1" x14ac:dyDescent="0.3">
      <c r="E1359" s="41"/>
      <c r="F1359" s="41"/>
      <c r="G1359" s="41"/>
      <c r="H1359" s="41"/>
      <c r="I1359" s="41"/>
      <c r="J1359" s="41"/>
      <c r="K1359" s="41"/>
      <c r="L1359" s="41"/>
    </row>
    <row r="1360" spans="5:12" s="39" customFormat="1" x14ac:dyDescent="0.3">
      <c r="E1360" s="41"/>
      <c r="F1360" s="41"/>
      <c r="G1360" s="41"/>
      <c r="H1360" s="41"/>
      <c r="I1360" s="41"/>
      <c r="J1360" s="41"/>
      <c r="K1360" s="41"/>
      <c r="L1360" s="41"/>
    </row>
    <row r="1361" spans="5:12" s="39" customFormat="1" x14ac:dyDescent="0.3">
      <c r="E1361" s="41"/>
      <c r="F1361" s="41"/>
      <c r="G1361" s="41"/>
      <c r="H1361" s="41"/>
      <c r="I1361" s="41"/>
      <c r="J1361" s="41"/>
      <c r="K1361" s="41"/>
      <c r="L1361" s="41"/>
    </row>
    <row r="1362" spans="5:12" s="39" customFormat="1" x14ac:dyDescent="0.3">
      <c r="E1362" s="41"/>
      <c r="F1362" s="41"/>
      <c r="G1362" s="41"/>
      <c r="H1362" s="41"/>
      <c r="I1362" s="41"/>
      <c r="J1362" s="41"/>
      <c r="K1362" s="41"/>
      <c r="L1362" s="41"/>
    </row>
    <row r="1363" spans="5:12" s="39" customFormat="1" x14ac:dyDescent="0.3">
      <c r="E1363" s="41"/>
      <c r="F1363" s="41"/>
      <c r="G1363" s="41"/>
      <c r="H1363" s="41"/>
      <c r="I1363" s="41"/>
      <c r="J1363" s="41"/>
      <c r="K1363" s="41"/>
      <c r="L1363" s="41"/>
    </row>
    <row r="1364" spans="5:12" s="39" customFormat="1" x14ac:dyDescent="0.3">
      <c r="E1364" s="41"/>
      <c r="F1364" s="41"/>
      <c r="G1364" s="41"/>
      <c r="H1364" s="41"/>
      <c r="I1364" s="41"/>
      <c r="J1364" s="41"/>
      <c r="K1364" s="41"/>
      <c r="L1364" s="41"/>
    </row>
    <row r="1365" spans="5:12" s="39" customFormat="1" x14ac:dyDescent="0.3">
      <c r="E1365" s="41"/>
      <c r="F1365" s="41"/>
      <c r="G1365" s="41"/>
      <c r="H1365" s="41"/>
      <c r="I1365" s="41"/>
      <c r="J1365" s="41"/>
      <c r="K1365" s="41"/>
      <c r="L1365" s="41"/>
    </row>
    <row r="1366" spans="5:12" s="39" customFormat="1" x14ac:dyDescent="0.3">
      <c r="E1366" s="41"/>
      <c r="F1366" s="41"/>
      <c r="G1366" s="41"/>
      <c r="H1366" s="41"/>
      <c r="I1366" s="41"/>
      <c r="J1366" s="41"/>
      <c r="K1366" s="41"/>
      <c r="L1366" s="41"/>
    </row>
    <row r="1367" spans="5:12" s="39" customFormat="1" x14ac:dyDescent="0.3">
      <c r="E1367" s="41"/>
      <c r="F1367" s="41"/>
      <c r="G1367" s="41"/>
      <c r="H1367" s="41"/>
      <c r="I1367" s="41"/>
      <c r="J1367" s="41"/>
      <c r="K1367" s="41"/>
      <c r="L1367" s="41"/>
    </row>
    <row r="1368" spans="5:12" s="39" customFormat="1" x14ac:dyDescent="0.3">
      <c r="E1368" s="41"/>
      <c r="F1368" s="41"/>
      <c r="G1368" s="41"/>
      <c r="H1368" s="41"/>
      <c r="I1368" s="41"/>
      <c r="J1368" s="41"/>
      <c r="K1368" s="41"/>
      <c r="L1368" s="41"/>
    </row>
    <row r="1369" spans="5:12" s="39" customFormat="1" x14ac:dyDescent="0.3">
      <c r="E1369" s="41"/>
      <c r="F1369" s="41"/>
      <c r="G1369" s="41"/>
      <c r="H1369" s="41"/>
      <c r="I1369" s="41"/>
      <c r="J1369" s="41"/>
      <c r="K1369" s="41"/>
      <c r="L1369" s="41"/>
    </row>
    <row r="1370" spans="5:12" s="39" customFormat="1" x14ac:dyDescent="0.3">
      <c r="E1370" s="41"/>
      <c r="F1370" s="41"/>
      <c r="G1370" s="41"/>
      <c r="H1370" s="41"/>
      <c r="I1370" s="41"/>
      <c r="J1370" s="41"/>
      <c r="K1370" s="41"/>
      <c r="L1370" s="41"/>
    </row>
    <row r="1371" spans="5:12" s="39" customFormat="1" x14ac:dyDescent="0.3">
      <c r="E1371" s="41"/>
      <c r="F1371" s="41"/>
      <c r="G1371" s="41"/>
      <c r="H1371" s="41"/>
      <c r="I1371" s="41"/>
      <c r="J1371" s="41"/>
      <c r="K1371" s="41"/>
      <c r="L1371" s="41"/>
    </row>
    <row r="1372" spans="5:12" s="39" customFormat="1" x14ac:dyDescent="0.3">
      <c r="E1372" s="41"/>
      <c r="F1372" s="41"/>
      <c r="G1372" s="41"/>
      <c r="H1372" s="41"/>
      <c r="I1372" s="41"/>
      <c r="J1372" s="41"/>
      <c r="K1372" s="41"/>
      <c r="L1372" s="41"/>
    </row>
    <row r="1373" spans="5:12" s="39" customFormat="1" x14ac:dyDescent="0.3">
      <c r="E1373" s="41"/>
      <c r="F1373" s="41"/>
      <c r="G1373" s="41"/>
      <c r="H1373" s="41"/>
      <c r="I1373" s="41"/>
      <c r="J1373" s="41"/>
      <c r="K1373" s="41"/>
      <c r="L1373" s="41"/>
    </row>
    <row r="1374" spans="5:12" s="39" customFormat="1" x14ac:dyDescent="0.3">
      <c r="E1374" s="41"/>
      <c r="F1374" s="41"/>
      <c r="G1374" s="41"/>
      <c r="H1374" s="41"/>
      <c r="I1374" s="41"/>
      <c r="J1374" s="41"/>
      <c r="K1374" s="41"/>
      <c r="L1374" s="41"/>
    </row>
    <row r="1375" spans="5:12" s="39" customFormat="1" x14ac:dyDescent="0.3">
      <c r="E1375" s="41"/>
      <c r="F1375" s="41"/>
      <c r="G1375" s="41"/>
      <c r="H1375" s="41"/>
      <c r="I1375" s="41"/>
      <c r="J1375" s="41"/>
      <c r="K1375" s="41"/>
      <c r="L1375" s="41"/>
    </row>
    <row r="1376" spans="5:12" s="39" customFormat="1" x14ac:dyDescent="0.3">
      <c r="E1376" s="41"/>
      <c r="F1376" s="41"/>
      <c r="G1376" s="41"/>
      <c r="H1376" s="41"/>
      <c r="I1376" s="41"/>
      <c r="J1376" s="41"/>
      <c r="K1376" s="41"/>
      <c r="L1376" s="41"/>
    </row>
    <row r="1377" spans="5:12" s="39" customFormat="1" x14ac:dyDescent="0.3">
      <c r="E1377" s="41"/>
      <c r="F1377" s="41"/>
      <c r="G1377" s="41"/>
      <c r="H1377" s="41"/>
      <c r="I1377" s="41"/>
      <c r="J1377" s="41"/>
      <c r="K1377" s="41"/>
      <c r="L1377" s="41"/>
    </row>
    <row r="1378" spans="5:12" s="39" customFormat="1" x14ac:dyDescent="0.3">
      <c r="E1378" s="41"/>
      <c r="F1378" s="41"/>
      <c r="G1378" s="41"/>
      <c r="H1378" s="41"/>
      <c r="I1378" s="41"/>
      <c r="J1378" s="41"/>
      <c r="K1378" s="41"/>
      <c r="L1378" s="41"/>
    </row>
    <row r="1379" spans="5:12" s="39" customFormat="1" x14ac:dyDescent="0.3">
      <c r="E1379" s="41"/>
      <c r="F1379" s="41"/>
      <c r="G1379" s="41"/>
      <c r="H1379" s="41"/>
      <c r="I1379" s="41"/>
      <c r="J1379" s="41"/>
      <c r="K1379" s="41"/>
      <c r="L1379" s="41"/>
    </row>
    <row r="1380" spans="5:12" s="39" customFormat="1" x14ac:dyDescent="0.3">
      <c r="E1380" s="41"/>
      <c r="F1380" s="41"/>
      <c r="G1380" s="41"/>
      <c r="H1380" s="41"/>
      <c r="I1380" s="41"/>
      <c r="J1380" s="41"/>
      <c r="K1380" s="41"/>
      <c r="L1380" s="41"/>
    </row>
    <row r="1381" spans="5:12" s="39" customFormat="1" x14ac:dyDescent="0.3">
      <c r="E1381" s="41"/>
      <c r="F1381" s="41"/>
      <c r="G1381" s="41"/>
      <c r="H1381" s="41"/>
      <c r="I1381" s="41"/>
      <c r="J1381" s="41"/>
      <c r="K1381" s="41"/>
      <c r="L1381" s="41"/>
    </row>
    <row r="1382" spans="5:12" s="39" customFormat="1" x14ac:dyDescent="0.3">
      <c r="E1382" s="41"/>
      <c r="F1382" s="41"/>
      <c r="G1382" s="41"/>
      <c r="H1382" s="41"/>
      <c r="I1382" s="41"/>
      <c r="J1382" s="41"/>
      <c r="K1382" s="41"/>
      <c r="L1382" s="41"/>
    </row>
    <row r="1383" spans="5:12" s="39" customFormat="1" x14ac:dyDescent="0.3">
      <c r="E1383" s="41"/>
      <c r="F1383" s="41"/>
      <c r="G1383" s="41"/>
      <c r="H1383" s="41"/>
      <c r="I1383" s="41"/>
      <c r="J1383" s="41"/>
      <c r="K1383" s="41"/>
      <c r="L1383" s="41"/>
    </row>
    <row r="1384" spans="5:12" s="39" customFormat="1" x14ac:dyDescent="0.3">
      <c r="E1384" s="41"/>
      <c r="F1384" s="41"/>
      <c r="G1384" s="41"/>
      <c r="H1384" s="41"/>
      <c r="I1384" s="41"/>
      <c r="J1384" s="41"/>
      <c r="K1384" s="41"/>
      <c r="L1384" s="41"/>
    </row>
    <row r="1385" spans="5:12" s="39" customFormat="1" x14ac:dyDescent="0.3">
      <c r="E1385" s="41"/>
      <c r="F1385" s="41"/>
      <c r="G1385" s="41"/>
      <c r="H1385" s="41"/>
      <c r="I1385" s="41"/>
      <c r="J1385" s="41"/>
      <c r="K1385" s="41"/>
      <c r="L1385" s="41"/>
    </row>
    <row r="1386" spans="5:12" s="39" customFormat="1" x14ac:dyDescent="0.3">
      <c r="E1386" s="41"/>
      <c r="F1386" s="41"/>
      <c r="G1386" s="41"/>
      <c r="H1386" s="41"/>
      <c r="I1386" s="41"/>
      <c r="J1386" s="41"/>
      <c r="K1386" s="41"/>
      <c r="L1386" s="41"/>
    </row>
    <row r="1387" spans="5:12" s="39" customFormat="1" x14ac:dyDescent="0.3">
      <c r="E1387" s="41"/>
      <c r="F1387" s="41"/>
      <c r="G1387" s="41"/>
      <c r="H1387" s="41"/>
      <c r="I1387" s="41"/>
      <c r="J1387" s="41"/>
      <c r="K1387" s="41"/>
      <c r="L1387" s="41"/>
    </row>
    <row r="1388" spans="5:12" s="39" customFormat="1" x14ac:dyDescent="0.3">
      <c r="E1388" s="41"/>
      <c r="F1388" s="41"/>
      <c r="G1388" s="41"/>
      <c r="H1388" s="41"/>
      <c r="I1388" s="41"/>
      <c r="J1388" s="41"/>
      <c r="K1388" s="41"/>
      <c r="L1388" s="41"/>
    </row>
    <row r="1389" spans="5:12" s="39" customFormat="1" x14ac:dyDescent="0.3">
      <c r="E1389" s="41"/>
      <c r="F1389" s="41"/>
      <c r="G1389" s="41"/>
      <c r="H1389" s="41"/>
      <c r="I1389" s="41"/>
      <c r="J1389" s="41"/>
      <c r="K1389" s="41"/>
      <c r="L1389" s="41"/>
    </row>
    <row r="1390" spans="5:12" s="39" customFormat="1" x14ac:dyDescent="0.3">
      <c r="E1390" s="41"/>
      <c r="F1390" s="41"/>
      <c r="G1390" s="41"/>
      <c r="H1390" s="41"/>
      <c r="I1390" s="41"/>
      <c r="J1390" s="41"/>
      <c r="K1390" s="41"/>
      <c r="L1390" s="41"/>
    </row>
    <row r="1391" spans="5:12" s="39" customFormat="1" x14ac:dyDescent="0.3">
      <c r="E1391" s="41"/>
      <c r="F1391" s="41"/>
      <c r="G1391" s="41"/>
      <c r="H1391" s="41"/>
      <c r="I1391" s="41"/>
      <c r="J1391" s="41"/>
      <c r="K1391" s="41"/>
      <c r="L1391" s="41"/>
    </row>
    <row r="1392" spans="5:12" s="39" customFormat="1" x14ac:dyDescent="0.3">
      <c r="E1392" s="41"/>
      <c r="F1392" s="41"/>
      <c r="G1392" s="41"/>
      <c r="H1392" s="41"/>
      <c r="I1392" s="41"/>
      <c r="J1392" s="41"/>
      <c r="K1392" s="41"/>
      <c r="L1392" s="41"/>
    </row>
    <row r="1393" spans="5:12" s="39" customFormat="1" x14ac:dyDescent="0.3">
      <c r="E1393" s="41"/>
      <c r="F1393" s="41"/>
      <c r="G1393" s="41"/>
      <c r="H1393" s="41"/>
      <c r="I1393" s="41"/>
      <c r="J1393" s="41"/>
      <c r="K1393" s="41"/>
      <c r="L1393" s="41"/>
    </row>
    <row r="1394" spans="5:12" s="39" customFormat="1" x14ac:dyDescent="0.3">
      <c r="E1394" s="41"/>
      <c r="F1394" s="41"/>
      <c r="G1394" s="41"/>
      <c r="H1394" s="41"/>
      <c r="I1394" s="41"/>
      <c r="J1394" s="41"/>
      <c r="K1394" s="41"/>
      <c r="L1394" s="41"/>
    </row>
    <row r="1395" spans="5:12" s="39" customFormat="1" x14ac:dyDescent="0.3">
      <c r="E1395" s="41"/>
      <c r="F1395" s="41"/>
      <c r="G1395" s="41"/>
      <c r="H1395" s="41"/>
      <c r="I1395" s="41"/>
      <c r="J1395" s="41"/>
      <c r="K1395" s="41"/>
      <c r="L1395" s="41"/>
    </row>
    <row r="1396" spans="5:12" s="39" customFormat="1" x14ac:dyDescent="0.3">
      <c r="E1396" s="41"/>
      <c r="F1396" s="41"/>
      <c r="G1396" s="41"/>
      <c r="H1396" s="41"/>
      <c r="I1396" s="41"/>
      <c r="J1396" s="41"/>
      <c r="K1396" s="41"/>
      <c r="L1396" s="41"/>
    </row>
    <row r="1397" spans="5:12" s="39" customFormat="1" x14ac:dyDescent="0.3">
      <c r="E1397" s="41"/>
      <c r="F1397" s="41"/>
      <c r="G1397" s="41"/>
      <c r="H1397" s="41"/>
      <c r="I1397" s="41"/>
      <c r="J1397" s="41"/>
      <c r="K1397" s="41"/>
      <c r="L1397" s="41"/>
    </row>
    <row r="1398" spans="5:12" s="39" customFormat="1" x14ac:dyDescent="0.3">
      <c r="E1398" s="41"/>
      <c r="F1398" s="41"/>
      <c r="G1398" s="41"/>
      <c r="H1398" s="41"/>
      <c r="I1398" s="41"/>
      <c r="J1398" s="41"/>
      <c r="K1398" s="41"/>
      <c r="L1398" s="41"/>
    </row>
    <row r="1399" spans="5:12" s="39" customFormat="1" x14ac:dyDescent="0.3">
      <c r="E1399" s="41"/>
      <c r="F1399" s="41"/>
      <c r="G1399" s="41"/>
      <c r="H1399" s="41"/>
      <c r="I1399" s="41"/>
      <c r="J1399" s="41"/>
      <c r="K1399" s="41"/>
      <c r="L1399" s="41"/>
    </row>
    <row r="1400" spans="5:12" s="39" customFormat="1" x14ac:dyDescent="0.3">
      <c r="E1400" s="41"/>
      <c r="F1400" s="41"/>
      <c r="G1400" s="41"/>
      <c r="H1400" s="41"/>
      <c r="I1400" s="41"/>
      <c r="J1400" s="41"/>
      <c r="K1400" s="41"/>
      <c r="L1400" s="41"/>
    </row>
    <row r="1401" spans="5:12" s="39" customFormat="1" x14ac:dyDescent="0.3">
      <c r="E1401" s="41"/>
      <c r="F1401" s="41"/>
      <c r="G1401" s="41"/>
      <c r="H1401" s="41"/>
      <c r="I1401" s="41"/>
      <c r="J1401" s="41"/>
      <c r="K1401" s="41"/>
      <c r="L1401" s="41"/>
    </row>
    <row r="1402" spans="5:12" s="39" customFormat="1" x14ac:dyDescent="0.3">
      <c r="E1402" s="41"/>
      <c r="F1402" s="41"/>
      <c r="G1402" s="41"/>
      <c r="H1402" s="41"/>
      <c r="I1402" s="41"/>
      <c r="J1402" s="41"/>
      <c r="K1402" s="41"/>
      <c r="L1402" s="41"/>
    </row>
    <row r="1403" spans="5:12" s="39" customFormat="1" x14ac:dyDescent="0.3">
      <c r="E1403" s="41"/>
      <c r="F1403" s="41"/>
      <c r="G1403" s="41"/>
      <c r="H1403" s="41"/>
      <c r="I1403" s="41"/>
      <c r="J1403" s="41"/>
      <c r="K1403" s="41"/>
      <c r="L1403" s="41"/>
    </row>
    <row r="1404" spans="5:12" s="39" customFormat="1" x14ac:dyDescent="0.3">
      <c r="E1404" s="41"/>
      <c r="F1404" s="41"/>
      <c r="G1404" s="41"/>
      <c r="H1404" s="41"/>
      <c r="I1404" s="41"/>
      <c r="J1404" s="41"/>
      <c r="K1404" s="41"/>
      <c r="L1404" s="41"/>
    </row>
    <row r="1405" spans="5:12" s="39" customFormat="1" x14ac:dyDescent="0.3">
      <c r="E1405" s="41"/>
      <c r="F1405" s="41"/>
      <c r="G1405" s="41"/>
      <c r="H1405" s="41"/>
      <c r="I1405" s="41"/>
      <c r="J1405" s="41"/>
      <c r="K1405" s="41"/>
      <c r="L1405" s="41"/>
    </row>
    <row r="1406" spans="5:12" s="39" customFormat="1" x14ac:dyDescent="0.3">
      <c r="E1406" s="41"/>
      <c r="F1406" s="41"/>
      <c r="G1406" s="41"/>
      <c r="H1406" s="41"/>
      <c r="I1406" s="41"/>
      <c r="J1406" s="41"/>
      <c r="K1406" s="41"/>
      <c r="L1406" s="41"/>
    </row>
    <row r="1407" spans="5:12" s="39" customFormat="1" x14ac:dyDescent="0.3">
      <c r="E1407" s="41"/>
      <c r="F1407" s="41"/>
      <c r="G1407" s="41"/>
      <c r="H1407" s="41"/>
      <c r="I1407" s="41"/>
      <c r="J1407" s="41"/>
      <c r="K1407" s="41"/>
      <c r="L1407" s="41"/>
    </row>
    <row r="1408" spans="5:12" s="39" customFormat="1" x14ac:dyDescent="0.3">
      <c r="E1408" s="41"/>
      <c r="F1408" s="41"/>
      <c r="G1408" s="41"/>
      <c r="H1408" s="41"/>
      <c r="I1408" s="41"/>
      <c r="J1408" s="41"/>
      <c r="K1408" s="41"/>
      <c r="L1408" s="41"/>
    </row>
    <row r="1409" spans="5:12" s="39" customFormat="1" x14ac:dyDescent="0.3">
      <c r="E1409" s="41"/>
      <c r="F1409" s="41"/>
      <c r="G1409" s="41"/>
      <c r="H1409" s="41"/>
      <c r="I1409" s="41"/>
      <c r="J1409" s="41"/>
      <c r="K1409" s="41"/>
      <c r="L1409" s="41"/>
    </row>
    <row r="1410" spans="5:12" s="39" customFormat="1" x14ac:dyDescent="0.3">
      <c r="E1410" s="41"/>
      <c r="F1410" s="41"/>
      <c r="G1410" s="41"/>
      <c r="H1410" s="41"/>
      <c r="I1410" s="41"/>
      <c r="J1410" s="41"/>
      <c r="K1410" s="41"/>
      <c r="L1410" s="41"/>
    </row>
    <row r="1411" spans="5:12" s="39" customFormat="1" x14ac:dyDescent="0.3">
      <c r="E1411" s="41"/>
      <c r="F1411" s="41"/>
      <c r="G1411" s="41"/>
      <c r="H1411" s="41"/>
      <c r="I1411" s="41"/>
      <c r="J1411" s="41"/>
      <c r="K1411" s="41"/>
      <c r="L1411" s="41"/>
    </row>
    <row r="1412" spans="5:12" s="39" customFormat="1" x14ac:dyDescent="0.3">
      <c r="E1412" s="41"/>
      <c r="F1412" s="41"/>
      <c r="G1412" s="41"/>
      <c r="H1412" s="41"/>
      <c r="I1412" s="41"/>
      <c r="J1412" s="41"/>
      <c r="K1412" s="41"/>
      <c r="L1412" s="41"/>
    </row>
    <row r="1413" spans="5:12" s="39" customFormat="1" x14ac:dyDescent="0.3">
      <c r="E1413" s="41"/>
      <c r="F1413" s="41"/>
      <c r="G1413" s="41"/>
      <c r="H1413" s="41"/>
      <c r="I1413" s="41"/>
      <c r="J1413" s="41"/>
      <c r="K1413" s="41"/>
      <c r="L1413" s="41"/>
    </row>
    <row r="1414" spans="5:12" s="39" customFormat="1" x14ac:dyDescent="0.3">
      <c r="E1414" s="41"/>
      <c r="F1414" s="41"/>
      <c r="G1414" s="41"/>
      <c r="H1414" s="41"/>
      <c r="I1414" s="41"/>
      <c r="J1414" s="41"/>
      <c r="K1414" s="41"/>
      <c r="L1414" s="41"/>
    </row>
    <row r="1415" spans="5:12" s="39" customFormat="1" x14ac:dyDescent="0.3">
      <c r="E1415" s="41"/>
      <c r="F1415" s="41"/>
      <c r="G1415" s="41"/>
      <c r="H1415" s="41"/>
      <c r="I1415" s="41"/>
      <c r="J1415" s="41"/>
      <c r="K1415" s="41"/>
      <c r="L1415" s="41"/>
    </row>
    <row r="1416" spans="5:12" s="39" customFormat="1" x14ac:dyDescent="0.3">
      <c r="E1416" s="41"/>
      <c r="F1416" s="41"/>
      <c r="G1416" s="41"/>
      <c r="H1416" s="41"/>
      <c r="I1416" s="41"/>
      <c r="J1416" s="41"/>
      <c r="K1416" s="41"/>
      <c r="L1416" s="41"/>
    </row>
    <row r="1417" spans="5:12" s="39" customFormat="1" x14ac:dyDescent="0.3">
      <c r="E1417" s="41"/>
      <c r="F1417" s="41"/>
      <c r="G1417" s="41"/>
      <c r="H1417" s="41"/>
      <c r="I1417" s="41"/>
      <c r="J1417" s="41"/>
      <c r="K1417" s="41"/>
      <c r="L1417" s="41"/>
    </row>
    <row r="1418" spans="5:12" s="39" customFormat="1" x14ac:dyDescent="0.3">
      <c r="E1418" s="41"/>
      <c r="F1418" s="41"/>
      <c r="G1418" s="41"/>
      <c r="H1418" s="41"/>
      <c r="I1418" s="41"/>
      <c r="J1418" s="41"/>
      <c r="K1418" s="41"/>
      <c r="L1418" s="41"/>
    </row>
    <row r="1419" spans="5:12" s="39" customFormat="1" x14ac:dyDescent="0.3">
      <c r="E1419" s="41"/>
      <c r="F1419" s="41"/>
      <c r="G1419" s="41"/>
      <c r="H1419" s="41"/>
      <c r="I1419" s="41"/>
      <c r="J1419" s="41"/>
      <c r="K1419" s="41"/>
      <c r="L1419" s="41"/>
    </row>
    <row r="1420" spans="5:12" s="39" customFormat="1" x14ac:dyDescent="0.3">
      <c r="E1420" s="41"/>
      <c r="F1420" s="41"/>
      <c r="G1420" s="41"/>
      <c r="H1420" s="41"/>
      <c r="I1420" s="41"/>
      <c r="J1420" s="41"/>
      <c r="K1420" s="41"/>
      <c r="L1420" s="41"/>
    </row>
    <row r="1421" spans="5:12" s="39" customFormat="1" x14ac:dyDescent="0.3">
      <c r="E1421" s="41"/>
      <c r="F1421" s="41"/>
      <c r="G1421" s="41"/>
      <c r="H1421" s="41"/>
      <c r="I1421" s="41"/>
      <c r="J1421" s="41"/>
      <c r="K1421" s="41"/>
      <c r="L1421" s="41"/>
    </row>
    <row r="1422" spans="5:12" s="39" customFormat="1" x14ac:dyDescent="0.3">
      <c r="E1422" s="41"/>
      <c r="F1422" s="41"/>
      <c r="G1422" s="41"/>
      <c r="H1422" s="41"/>
      <c r="I1422" s="41"/>
      <c r="J1422" s="41"/>
      <c r="K1422" s="41"/>
      <c r="L1422" s="41"/>
    </row>
    <row r="1423" spans="5:12" s="39" customFormat="1" x14ac:dyDescent="0.3">
      <c r="E1423" s="41"/>
      <c r="F1423" s="41"/>
      <c r="G1423" s="41"/>
      <c r="H1423" s="41"/>
      <c r="I1423" s="41"/>
      <c r="J1423" s="41"/>
      <c r="K1423" s="41"/>
      <c r="L1423" s="41"/>
    </row>
    <row r="1424" spans="5:12" s="39" customFormat="1" x14ac:dyDescent="0.3">
      <c r="E1424" s="41"/>
      <c r="F1424" s="41"/>
      <c r="G1424" s="41"/>
      <c r="H1424" s="41"/>
      <c r="I1424" s="41"/>
      <c r="J1424" s="41"/>
      <c r="K1424" s="41"/>
      <c r="L1424" s="41"/>
    </row>
    <row r="1425" spans="5:12" s="39" customFormat="1" x14ac:dyDescent="0.3">
      <c r="E1425" s="41"/>
      <c r="F1425" s="41"/>
      <c r="G1425" s="41"/>
      <c r="H1425" s="41"/>
      <c r="I1425" s="41"/>
      <c r="J1425" s="41"/>
      <c r="K1425" s="41"/>
      <c r="L1425" s="41"/>
    </row>
    <row r="1426" spans="5:12" s="39" customFormat="1" x14ac:dyDescent="0.3">
      <c r="E1426" s="41"/>
      <c r="F1426" s="41"/>
      <c r="G1426" s="41"/>
      <c r="H1426" s="41"/>
      <c r="I1426" s="41"/>
      <c r="J1426" s="41"/>
      <c r="K1426" s="41"/>
      <c r="L1426" s="41"/>
    </row>
    <row r="1427" spans="5:12" s="39" customFormat="1" x14ac:dyDescent="0.3">
      <c r="E1427" s="41"/>
      <c r="F1427" s="41"/>
      <c r="G1427" s="41"/>
      <c r="H1427" s="41"/>
      <c r="I1427" s="41"/>
      <c r="J1427" s="41"/>
      <c r="K1427" s="41"/>
      <c r="L1427" s="41"/>
    </row>
    <row r="1428" spans="5:12" s="39" customFormat="1" x14ac:dyDescent="0.3">
      <c r="E1428" s="41"/>
      <c r="F1428" s="41"/>
      <c r="G1428" s="41"/>
      <c r="H1428" s="41"/>
      <c r="I1428" s="41"/>
      <c r="J1428" s="41"/>
      <c r="K1428" s="41"/>
      <c r="L1428" s="41"/>
    </row>
    <row r="1429" spans="5:12" s="39" customFormat="1" x14ac:dyDescent="0.3">
      <c r="E1429" s="41"/>
      <c r="F1429" s="41"/>
      <c r="G1429" s="41"/>
      <c r="H1429" s="41"/>
      <c r="I1429" s="41"/>
      <c r="J1429" s="41"/>
      <c r="K1429" s="41"/>
      <c r="L1429" s="41"/>
    </row>
    <row r="1430" spans="5:12" s="39" customFormat="1" x14ac:dyDescent="0.3">
      <c r="E1430" s="41"/>
      <c r="F1430" s="41"/>
      <c r="G1430" s="41"/>
      <c r="H1430" s="41"/>
      <c r="I1430" s="41"/>
      <c r="J1430" s="41"/>
      <c r="K1430" s="41"/>
      <c r="L1430" s="41"/>
    </row>
    <row r="1431" spans="5:12" s="39" customFormat="1" x14ac:dyDescent="0.3">
      <c r="E1431" s="41"/>
      <c r="F1431" s="41"/>
      <c r="G1431" s="41"/>
      <c r="H1431" s="41"/>
      <c r="I1431" s="41"/>
      <c r="J1431" s="41"/>
      <c r="K1431" s="41"/>
      <c r="L1431" s="41"/>
    </row>
    <row r="1432" spans="5:12" s="39" customFormat="1" x14ac:dyDescent="0.3">
      <c r="E1432" s="41"/>
      <c r="F1432" s="41"/>
      <c r="G1432" s="41"/>
      <c r="H1432" s="41"/>
      <c r="I1432" s="41"/>
      <c r="J1432" s="41"/>
      <c r="K1432" s="41"/>
      <c r="L1432" s="41"/>
    </row>
    <row r="1433" spans="5:12" s="39" customFormat="1" x14ac:dyDescent="0.3">
      <c r="E1433" s="41"/>
      <c r="F1433" s="41"/>
      <c r="G1433" s="41"/>
      <c r="H1433" s="41"/>
      <c r="I1433" s="41"/>
      <c r="J1433" s="41"/>
      <c r="K1433" s="41"/>
      <c r="L1433" s="41"/>
    </row>
    <row r="1434" spans="5:12" s="39" customFormat="1" x14ac:dyDescent="0.3">
      <c r="E1434" s="41"/>
      <c r="F1434" s="41"/>
      <c r="G1434" s="41"/>
      <c r="H1434" s="41"/>
      <c r="I1434" s="41"/>
      <c r="J1434" s="41"/>
      <c r="K1434" s="41"/>
      <c r="L1434" s="41"/>
    </row>
    <row r="1435" spans="5:12" s="39" customFormat="1" x14ac:dyDescent="0.3">
      <c r="E1435" s="41"/>
      <c r="F1435" s="41"/>
      <c r="G1435" s="41"/>
      <c r="H1435" s="41"/>
      <c r="I1435" s="41"/>
      <c r="J1435" s="41"/>
      <c r="K1435" s="41"/>
      <c r="L1435" s="41"/>
    </row>
    <row r="1436" spans="5:12" s="39" customFormat="1" x14ac:dyDescent="0.3">
      <c r="E1436" s="41"/>
      <c r="F1436" s="41"/>
      <c r="G1436" s="41"/>
      <c r="H1436" s="41"/>
      <c r="I1436" s="41"/>
      <c r="J1436" s="41"/>
      <c r="K1436" s="41"/>
      <c r="L1436" s="41"/>
    </row>
    <row r="1437" spans="5:12" s="39" customFormat="1" x14ac:dyDescent="0.3">
      <c r="E1437" s="41"/>
      <c r="F1437" s="41"/>
      <c r="G1437" s="41"/>
      <c r="H1437" s="41"/>
      <c r="I1437" s="41"/>
      <c r="J1437" s="41"/>
      <c r="K1437" s="41"/>
      <c r="L1437" s="41"/>
    </row>
    <row r="1438" spans="5:12" s="39" customFormat="1" x14ac:dyDescent="0.3">
      <c r="E1438" s="41"/>
      <c r="F1438" s="41"/>
      <c r="G1438" s="41"/>
      <c r="H1438" s="41"/>
      <c r="I1438" s="41"/>
      <c r="J1438" s="41"/>
      <c r="K1438" s="41"/>
      <c r="L1438" s="41"/>
    </row>
    <row r="1439" spans="5:12" s="39" customFormat="1" x14ac:dyDescent="0.3">
      <c r="E1439" s="41"/>
      <c r="F1439" s="41"/>
      <c r="G1439" s="41"/>
      <c r="H1439" s="41"/>
      <c r="I1439" s="41"/>
      <c r="J1439" s="41"/>
      <c r="K1439" s="41"/>
      <c r="L1439" s="41"/>
    </row>
    <row r="1440" spans="5:12" s="39" customFormat="1" x14ac:dyDescent="0.3">
      <c r="E1440" s="41"/>
      <c r="F1440" s="41"/>
      <c r="G1440" s="41"/>
      <c r="H1440" s="41"/>
      <c r="I1440" s="41"/>
      <c r="J1440" s="41"/>
      <c r="K1440" s="41"/>
      <c r="L1440" s="41"/>
    </row>
    <row r="1441" spans="5:12" s="39" customFormat="1" x14ac:dyDescent="0.3">
      <c r="E1441" s="41"/>
      <c r="F1441" s="41"/>
      <c r="G1441" s="41"/>
      <c r="H1441" s="41"/>
      <c r="I1441" s="41"/>
      <c r="J1441" s="41"/>
      <c r="K1441" s="41"/>
      <c r="L1441" s="41"/>
    </row>
    <row r="1442" spans="5:12" s="39" customFormat="1" x14ac:dyDescent="0.3">
      <c r="E1442" s="41"/>
      <c r="F1442" s="41"/>
      <c r="G1442" s="41"/>
      <c r="H1442" s="41"/>
      <c r="I1442" s="41"/>
      <c r="J1442" s="41"/>
      <c r="K1442" s="41"/>
      <c r="L1442" s="41"/>
    </row>
    <row r="1443" spans="5:12" s="39" customFormat="1" x14ac:dyDescent="0.3">
      <c r="E1443" s="41"/>
      <c r="F1443" s="41"/>
      <c r="G1443" s="41"/>
      <c r="H1443" s="41"/>
      <c r="I1443" s="41"/>
      <c r="J1443" s="41"/>
      <c r="K1443" s="41"/>
      <c r="L1443" s="41"/>
    </row>
    <row r="1444" spans="5:12" s="39" customFormat="1" x14ac:dyDescent="0.3">
      <c r="E1444" s="41"/>
      <c r="F1444" s="41"/>
      <c r="G1444" s="41"/>
      <c r="H1444" s="41"/>
      <c r="I1444" s="41"/>
      <c r="J1444" s="41"/>
      <c r="K1444" s="41"/>
      <c r="L1444" s="41"/>
    </row>
  </sheetData>
  <protectedRanges>
    <protectedRange sqref="F4 H4 F9 H9 F11 H11 F13 H13 F20 H20 F22 H22 F24 H24 F26 H26 F28 H28 F30 H30 F32 H32 J26 J22" name="Data entry"/>
  </protectedRanges>
  <mergeCells count="10">
    <mergeCell ref="D81:J81"/>
    <mergeCell ref="D90:K90"/>
    <mergeCell ref="D48:F48"/>
    <mergeCell ref="I4:J4"/>
    <mergeCell ref="D16:J16"/>
    <mergeCell ref="D51:J51"/>
    <mergeCell ref="D53:J53"/>
    <mergeCell ref="D71:J71"/>
    <mergeCell ref="D63:J63"/>
    <mergeCell ref="D73:J73"/>
  </mergeCells>
  <conditionalFormatting sqref="F37 H37">
    <cfRule type="containsText" dxfId="2" priority="3" operator="containsText" text="NON">
      <formula>NOT(ISERROR(SEARCH("NON",F37)))</formula>
    </cfRule>
    <cfRule type="containsText" dxfId="1" priority="4" operator="containsText" text="OUI">
      <formula>NOT(ISERROR(SEARCH("OUI",F37)))</formula>
    </cfRule>
  </conditionalFormatting>
  <dataValidations count="6">
    <dataValidation operator="greaterThanOrEqual" allowBlank="1" showInputMessage="1" showErrorMessage="1" sqref="F11 F4 H4 F13" xr:uid="{C214E84D-EBCF-40BC-9B9F-7E0D82485636}"/>
    <dataValidation type="whole" allowBlank="1" showInputMessage="1" showErrorMessage="1" sqref="F22 H22" xr:uid="{1A30A206-244E-428E-8CD8-87DC633CCAAF}">
      <formula1>0</formula1>
      <formula2>5000000000</formula2>
    </dataValidation>
    <dataValidation allowBlank="1" showInputMessage="1" showErrorMessage="1" promptTitle="La capacité totale des appareils" prompt="La capacité totale (Nombre d'appareil fois capacité par appareil) des deux colonnes doivent être similaire afin d'obtenir des estimations valides" sqref="H13" xr:uid="{14A5787F-14DF-44AD-8517-D4F947DF0F3E}"/>
    <dataValidation allowBlank="1" showErrorMessage="1" promptTitle="Heures d'opérations annuelles" prompt="Les heures d'opérations annuelles des deux colonnes doivent être similaires afin d'obtenir des estimations valides" sqref="F24" xr:uid="{24A1E18F-FBB2-4BC6-975A-322A9D28514B}"/>
    <dataValidation allowBlank="1" showInputMessage="1" showErrorMessage="1" promptTitle="Heures d'opérations annuelles" prompt="Les heures d'opérations annuelles des deux colonnes doivent être similaires afin d'obtenir des estimations valides" sqref="H24" xr:uid="{E54D93FA-0B5C-45B8-A2AE-9BAB5C823C36}"/>
    <dataValidation allowBlank="1" showInputMessage="1" showErrorMessage="1" promptTitle="Le coût du gaz naturel" prompt="Le coût du gaz naturel des deux colonnes devraient être égaux afin d'obtenir des estimations valides" sqref="H26" xr:uid="{C992BEE1-619C-4FAB-A43E-5399A6721F3F}"/>
  </dataValidations>
  <hyperlinks>
    <hyperlink ref="D4" r:id="rId1" display="Subvention en vigueur:" xr:uid="{A09386E8-303B-4B43-A3E5-C42C1641E765}"/>
  </hyperlinks>
  <pageMargins left="0.7" right="0.7" top="0.75" bottom="0.75" header="0.3" footer="0.3"/>
  <pageSetup orientation="portrait" horizontalDpi="4294967293"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918829F5-709D-4AC5-952D-EEA5F1E0D0CC}">
          <x14:formula1>
            <xm:f>Instructions!$G$8:$G$10</xm:f>
          </x14:formula1>
          <xm:sqref>F20 H20</xm:sqref>
        </x14:dataValidation>
        <x14:dataValidation type="list" allowBlank="1" showInputMessage="1" showErrorMessage="1" xr:uid="{774804E9-DD46-4847-9A26-7E69F3CD7DFD}">
          <x14:formula1>
            <xm:f>Instructions!$E$17:$G$17</xm:f>
          </x14:formula1>
          <xm:sqref>J26</xm:sqref>
        </x14:dataValidation>
        <x14:dataValidation type="list" allowBlank="1" showInputMessage="1" showErrorMessage="1" xr:uid="{44EF942E-DA78-4448-8177-36FFC7E8117B}">
          <x14:formula1>
            <xm:f>Instructions!$F$7:$H$7</xm:f>
          </x14:formula1>
          <xm:sqref>F9 H9</xm:sqref>
        </x14:dataValidation>
        <x14:dataValidation type="list" allowBlank="1" showInputMessage="1" showErrorMessage="1" xr:uid="{3E634A1E-D8E0-4A0A-9A1C-49F9BCE09EB8}">
          <x14:formula1>
            <xm:f>Instructions!$F$13:$H$13</xm:f>
          </x14:formula1>
          <xm:sqref>J22</xm:sqref>
        </x14:dataValidation>
        <x14:dataValidation type="list" allowBlank="1" showInputMessage="1" showErrorMessage="1" xr:uid="{E1151DCE-A370-4D40-8F03-34DA30C548FA}">
          <x14:formula1>
            <xm:f>Instructions!$O$7:$S$7</xm:f>
          </x14:formula1>
          <xm:sqref>I44 G44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828EE-5DFC-4975-9084-529B38F5B1AE}">
  <sheetPr codeName="Sheet14"/>
  <dimension ref="B2:I28"/>
  <sheetViews>
    <sheetView topLeftCell="A4" workbookViewId="0">
      <selection activeCell="F8" sqref="F8"/>
    </sheetView>
  </sheetViews>
  <sheetFormatPr defaultColWidth="9.109375" defaultRowHeight="14.4" x14ac:dyDescent="0.3"/>
  <cols>
    <col min="2" max="2" width="30" bestFit="1" customWidth="1"/>
    <col min="3" max="3" width="17.33203125" bestFit="1" customWidth="1"/>
    <col min="5" max="5" width="42.88671875" bestFit="1" customWidth="1"/>
    <col min="6" max="6" width="10.44140625" bestFit="1" customWidth="1"/>
    <col min="8" max="8" width="40.88671875" bestFit="1" customWidth="1"/>
    <col min="9" max="9" width="10" bestFit="1" customWidth="1"/>
  </cols>
  <sheetData>
    <row r="2" spans="2:9" x14ac:dyDescent="0.3">
      <c r="B2" t="s">
        <v>1</v>
      </c>
    </row>
    <row r="3" spans="2:9" x14ac:dyDescent="0.3">
      <c r="B3" s="27" t="s">
        <v>8</v>
      </c>
      <c r="E3" s="27" t="s">
        <v>9</v>
      </c>
      <c r="H3" s="27" t="s">
        <v>10</v>
      </c>
    </row>
    <row r="4" spans="2:9" ht="15" thickBot="1" x14ac:dyDescent="0.35"/>
    <row r="5" spans="2:9" x14ac:dyDescent="0.3">
      <c r="B5" s="87" t="s">
        <v>11</v>
      </c>
      <c r="C5" s="88">
        <f>Calculateur!F13</f>
        <v>200000</v>
      </c>
      <c r="E5" s="80" t="s">
        <v>12</v>
      </c>
      <c r="F5" s="81">
        <f>C5*C6</f>
        <v>400000</v>
      </c>
      <c r="H5" s="31" t="s">
        <v>13</v>
      </c>
      <c r="I5" s="38" t="str">
        <f>IF(F7 = 0, "N/A", IF(F5&gt;=F7,"OUI","NON"))</f>
        <v>N/A</v>
      </c>
    </row>
    <row r="6" spans="2:9" x14ac:dyDescent="0.3">
      <c r="B6" s="89" t="s">
        <v>14</v>
      </c>
      <c r="C6" s="90">
        <f>Calculateur!F11</f>
        <v>2</v>
      </c>
      <c r="E6" s="82" t="s">
        <v>15</v>
      </c>
      <c r="F6" s="83" cm="1">
        <f t="array" ref="F6" xml:space="preserve"> _xlfn.IFS(C7 = "Atelier mécanique", 50, C7 = "Entrepôt", 30, C7 = "&lt; select &gt;", 0)</f>
        <v>0</v>
      </c>
      <c r="H6" s="32" t="s">
        <v>16</v>
      </c>
      <c r="I6" s="29">
        <f>C13*C6</f>
        <v>5506.8</v>
      </c>
    </row>
    <row r="7" spans="2:9" x14ac:dyDescent="0.3">
      <c r="B7" s="89" t="s">
        <v>17</v>
      </c>
      <c r="C7" s="91" t="str">
        <f>Calculateur!F20</f>
        <v>&lt; select &gt;</v>
      </c>
      <c r="E7" s="82" t="s">
        <v>18</v>
      </c>
      <c r="F7" s="83">
        <f>F6 * C8</f>
        <v>0</v>
      </c>
      <c r="H7" s="32" t="s">
        <v>0</v>
      </c>
      <c r="I7" s="28">
        <f>F8*C6</f>
        <v>0</v>
      </c>
    </row>
    <row r="8" spans="2:9" x14ac:dyDescent="0.3">
      <c r="B8" s="89" t="s">
        <v>19</v>
      </c>
      <c r="C8" s="99">
        <f>IF(Calculateur!J22="pi2",Calculateur!F22,Calculateur!F22 *Instructions!G14)</f>
        <v>0</v>
      </c>
      <c r="E8" s="82" t="s">
        <v>20</v>
      </c>
      <c r="F8" s="83">
        <f>IF(Calculateur!F9 = "Condensing",Calculateur!F4 + Calculateur!H4 * C5 / 1000,0)</f>
        <v>0</v>
      </c>
      <c r="H8" s="32" t="s">
        <v>21</v>
      </c>
      <c r="I8" s="29">
        <f>F9*C6</f>
        <v>18377.746220031742</v>
      </c>
    </row>
    <row r="9" spans="2:9" x14ac:dyDescent="0.3">
      <c r="B9" s="89" t="s">
        <v>22</v>
      </c>
      <c r="C9" s="91">
        <f>IF(Calculateur!F24 = "", Instructions!C7, Calculateur!F24)</f>
        <v>1353</v>
      </c>
      <c r="E9" s="82" t="s">
        <v>23</v>
      </c>
      <c r="F9" s="84">
        <f>(C5 * C9)/(Instructions!$C$12 * C12/100)</f>
        <v>9188.8731100158711</v>
      </c>
      <c r="H9" s="32" t="s">
        <v>24</v>
      </c>
      <c r="I9" s="29">
        <f>F10*C6</f>
        <v>3272.7090468632523</v>
      </c>
    </row>
    <row r="10" spans="2:9" ht="15" thickBot="1" x14ac:dyDescent="0.35">
      <c r="B10" s="89" t="s">
        <v>25</v>
      </c>
      <c r="C10" s="92">
        <f>IF(Calculateur!F26 = "", 'Prix GN'!C2/100,  IF(Calculateur!J26="$/m3",Calculateur!F26,Calculateur!F26*'Prix GN'!C2/('Prix GN'!B2*100)))</f>
        <v>0.17807999999999999</v>
      </c>
      <c r="E10" s="82" t="s">
        <v>26</v>
      </c>
      <c r="F10" s="84">
        <f>F9*C10</f>
        <v>1636.3545234316261</v>
      </c>
      <c r="H10" s="33" t="s">
        <v>27</v>
      </c>
      <c r="I10" s="30">
        <f>F11*C6/1000</f>
        <v>34.623673878539797</v>
      </c>
    </row>
    <row r="11" spans="2:9" ht="15" thickBot="1" x14ac:dyDescent="0.35">
      <c r="B11" s="89" t="s">
        <v>28</v>
      </c>
      <c r="C11" s="92">
        <f>18</f>
        <v>18</v>
      </c>
      <c r="E11" s="85" t="s">
        <v>29</v>
      </c>
      <c r="F11" s="86">
        <f>F9*Instructions!C9</f>
        <v>17311.836939269899</v>
      </c>
    </row>
    <row r="12" spans="2:9" x14ac:dyDescent="0.3">
      <c r="B12" s="89" t="s">
        <v>30</v>
      </c>
      <c r="C12" s="93">
        <f>IF(Calculateur!F28="",IF(Calculateur!F9 = "Standard", Instructions!C10, Instructions!C11),Calculateur!F28)</f>
        <v>82</v>
      </c>
    </row>
    <row r="13" spans="2:9" ht="15" thickBot="1" x14ac:dyDescent="0.35">
      <c r="B13" s="94" t="s">
        <v>31</v>
      </c>
      <c r="C13" s="95">
        <f>IF(Calculateur!F30 = "", IF(Calculateur!F9 = "Standard", 0.00000003 * C5 ^ 2 + 0.0001 * C5 + 1533.4, 2 * (0.00000003 * C5 ^ 2 + 0.0001 * C5 + 1533.4)), Calculateur!F30/C6)</f>
        <v>2753.4</v>
      </c>
    </row>
    <row r="17" spans="2:9" x14ac:dyDescent="0.3">
      <c r="B17" t="s">
        <v>2</v>
      </c>
    </row>
    <row r="18" spans="2:9" x14ac:dyDescent="0.3">
      <c r="B18" s="27" t="s">
        <v>8</v>
      </c>
      <c r="E18" s="27" t="s">
        <v>9</v>
      </c>
      <c r="H18" s="27" t="s">
        <v>10</v>
      </c>
    </row>
    <row r="19" spans="2:9" ht="15" thickBot="1" x14ac:dyDescent="0.35"/>
    <row r="20" spans="2:9" x14ac:dyDescent="0.3">
      <c r="B20" s="87" t="s">
        <v>11</v>
      </c>
      <c r="C20" s="88">
        <f>Calculateur!H13</f>
        <v>200000</v>
      </c>
      <c r="E20" s="80" t="s">
        <v>12</v>
      </c>
      <c r="F20" s="81">
        <f>C20*C21</f>
        <v>400000</v>
      </c>
      <c r="H20" s="31" t="s">
        <v>13</v>
      </c>
      <c r="I20" s="38" t="str">
        <f>IF(F22 = 0, "N/A", IF(F20&gt;=F22,"OUI","NON"))</f>
        <v>N/A</v>
      </c>
    </row>
    <row r="21" spans="2:9" x14ac:dyDescent="0.3">
      <c r="B21" s="89" t="s">
        <v>14</v>
      </c>
      <c r="C21" s="90">
        <f>Calculateur!H11</f>
        <v>2</v>
      </c>
      <c r="E21" s="82" t="s">
        <v>15</v>
      </c>
      <c r="F21" s="83" cm="1">
        <f t="array" ref="F21" xml:space="preserve"> _xlfn.IFS(C22 = "Atelier mécanique", 50, C22 = "Entrepôt", 30, C22="&lt; select &gt;", 0)</f>
        <v>0</v>
      </c>
      <c r="H21" s="32" t="s">
        <v>16</v>
      </c>
      <c r="I21" s="29">
        <f>C28*C21</f>
        <v>11013.6</v>
      </c>
    </row>
    <row r="22" spans="2:9" x14ac:dyDescent="0.3">
      <c r="B22" s="89" t="s">
        <v>17</v>
      </c>
      <c r="C22" s="91" t="str">
        <f>Calculateur!H20</f>
        <v>&lt; select &gt;</v>
      </c>
      <c r="E22" s="82" t="s">
        <v>18</v>
      </c>
      <c r="F22" s="83">
        <f>F21 * C23</f>
        <v>0</v>
      </c>
      <c r="H22" s="32" t="s">
        <v>0</v>
      </c>
      <c r="I22" s="28">
        <f>F23*C21</f>
        <v>6000</v>
      </c>
    </row>
    <row r="23" spans="2:9" x14ac:dyDescent="0.3">
      <c r="B23" s="89" t="s">
        <v>19</v>
      </c>
      <c r="C23" s="99">
        <f>IF(Calculateur!J22="pi2",Calculateur!H22,Calculateur!H22 *Instructions!G14)</f>
        <v>0</v>
      </c>
      <c r="E23" s="82" t="s">
        <v>20</v>
      </c>
      <c r="F23" s="83">
        <f>IF(Calculateur!H9 = "Condensing",Calculateur!F4 + Calculateur!H4 * C20 / 1000,0)</f>
        <v>3000</v>
      </c>
      <c r="H23" s="32" t="s">
        <v>21</v>
      </c>
      <c r="I23" s="29">
        <f>F24*C21</f>
        <v>16204.034301533367</v>
      </c>
    </row>
    <row r="24" spans="2:9" x14ac:dyDescent="0.3">
      <c r="B24" s="89" t="s">
        <v>22</v>
      </c>
      <c r="C24" s="91">
        <f>IF(Calculateur!H24 = "", Instructions!C7, Calculateur!H24)</f>
        <v>1353</v>
      </c>
      <c r="E24" s="82" t="s">
        <v>23</v>
      </c>
      <c r="F24" s="84">
        <f>(C20 * C24)/(Instructions!$C$12 * C27/100)</f>
        <v>8102.0171507666837</v>
      </c>
      <c r="H24" s="32" t="s">
        <v>24</v>
      </c>
      <c r="I24" s="29">
        <f>F25*C21</f>
        <v>2885.6144284170618</v>
      </c>
    </row>
    <row r="25" spans="2:9" ht="15" thickBot="1" x14ac:dyDescent="0.35">
      <c r="B25" s="89" t="s">
        <v>25</v>
      </c>
      <c r="C25" s="92">
        <f>IF(Calculateur!H26="",'Prix GN'!C2/100, IF(Calculateur!J26="$/m3",Calculateur!H26,Calculateur!H26*'Prix GN'!C2/('Prix GN'!B2*100)))</f>
        <v>0.17807999999999999</v>
      </c>
      <c r="E25" s="82" t="s">
        <v>26</v>
      </c>
      <c r="F25" s="84">
        <f>F24*C25</f>
        <v>1442.8072142085309</v>
      </c>
      <c r="H25" s="33" t="s">
        <v>27</v>
      </c>
      <c r="I25" s="30">
        <f>F26*C21/1000</f>
        <v>30.528400624088864</v>
      </c>
    </row>
    <row r="26" spans="2:9" ht="15" thickBot="1" x14ac:dyDescent="0.35">
      <c r="B26" s="89" t="s">
        <v>28</v>
      </c>
      <c r="C26" s="92">
        <f>18</f>
        <v>18</v>
      </c>
      <c r="E26" s="85" t="s">
        <v>29</v>
      </c>
      <c r="F26" s="86">
        <f>F24*Instructions!$C$9</f>
        <v>15264.200312044431</v>
      </c>
    </row>
    <row r="27" spans="2:9" x14ac:dyDescent="0.3">
      <c r="B27" s="89" t="s">
        <v>30</v>
      </c>
      <c r="C27" s="93">
        <f>IF(Calculateur!H28="",IF(Calculateur!H9="Standard",Instructions!C10,Instructions!C11),Calculateur!H28)</f>
        <v>93</v>
      </c>
    </row>
    <row r="28" spans="2:9" ht="15" thickBot="1" x14ac:dyDescent="0.35">
      <c r="B28" s="94" t="s">
        <v>31</v>
      </c>
      <c r="C28" s="95">
        <f>IF(Calculateur!H30 = "", IF(Calculateur!H9 = "Standard", 0.00000003 * C20 ^ 2 + 0.0001 * C20 + 1533.4, 2 * (0.00000003 * C20 ^ 2 + 0.0001 * C20 + 1533.4)), Calculateur!H30/C21)</f>
        <v>5506.8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4091-D511-4684-927D-80868CA22EA7}">
  <sheetPr codeName="Sheet12"/>
  <dimension ref="A1:E21"/>
  <sheetViews>
    <sheetView workbookViewId="0">
      <selection activeCell="F11" sqref="F11"/>
    </sheetView>
  </sheetViews>
  <sheetFormatPr defaultColWidth="9.109375" defaultRowHeight="14.4" x14ac:dyDescent="0.3"/>
  <cols>
    <col min="1" max="1" width="10.33203125" bestFit="1" customWidth="1"/>
    <col min="2" max="2" width="26.109375" bestFit="1" customWidth="1"/>
    <col min="3" max="3" width="26.5546875" bestFit="1" customWidth="1"/>
    <col min="4" max="4" width="31.77734375" bestFit="1" customWidth="1"/>
    <col min="5" max="5" width="28.5546875" bestFit="1" customWidth="1"/>
  </cols>
  <sheetData>
    <row r="1" spans="1:5" x14ac:dyDescent="0.3">
      <c r="A1" t="s">
        <v>47</v>
      </c>
      <c r="B1" t="s">
        <v>48</v>
      </c>
      <c r="C1" t="s">
        <v>49</v>
      </c>
      <c r="D1" t="s">
        <v>50</v>
      </c>
      <c r="E1" t="s">
        <v>51</v>
      </c>
    </row>
    <row r="2" spans="1:5" x14ac:dyDescent="0.3">
      <c r="A2" s="50">
        <v>45870</v>
      </c>
      <c r="B2">
        <v>4.7</v>
      </c>
      <c r="C2">
        <v>17.808</v>
      </c>
      <c r="D2">
        <v>4.3499999999999996</v>
      </c>
      <c r="E2">
        <v>3.56</v>
      </c>
    </row>
    <row r="3" spans="1:5" x14ac:dyDescent="0.3">
      <c r="A3" s="50">
        <v>45839</v>
      </c>
      <c r="B3">
        <v>4.72</v>
      </c>
      <c r="C3">
        <v>17.884</v>
      </c>
      <c r="D3">
        <v>4.6100000000000003</v>
      </c>
      <c r="E3">
        <v>3.69</v>
      </c>
    </row>
    <row r="4" spans="1:5" x14ac:dyDescent="0.3">
      <c r="A4" s="50">
        <v>45809</v>
      </c>
      <c r="B4">
        <v>4.8899999999999997</v>
      </c>
      <c r="C4">
        <v>18.527999999999999</v>
      </c>
      <c r="D4">
        <v>4.46</v>
      </c>
      <c r="E4">
        <v>3.57</v>
      </c>
    </row>
    <row r="5" spans="1:5" x14ac:dyDescent="0.3">
      <c r="A5" s="50">
        <v>45778</v>
      </c>
      <c r="B5">
        <v>5.1100000000000003</v>
      </c>
      <c r="C5">
        <v>19.361999999999998</v>
      </c>
      <c r="D5">
        <v>4.46</v>
      </c>
      <c r="E5">
        <v>3.66</v>
      </c>
    </row>
    <row r="6" spans="1:5" x14ac:dyDescent="0.3">
      <c r="A6" s="50">
        <v>45748</v>
      </c>
      <c r="B6">
        <v>5.96</v>
      </c>
      <c r="C6">
        <v>22.582000000000001</v>
      </c>
      <c r="D6">
        <v>5.43</v>
      </c>
      <c r="E6">
        <v>5.15</v>
      </c>
    </row>
    <row r="7" spans="1:5" x14ac:dyDescent="0.3">
      <c r="A7" s="50">
        <v>45717</v>
      </c>
      <c r="B7">
        <v>5.14</v>
      </c>
      <c r="C7">
        <v>19.475999999999999</v>
      </c>
      <c r="D7">
        <v>5.33</v>
      </c>
      <c r="E7">
        <v>5.23</v>
      </c>
    </row>
    <row r="8" spans="1:5" x14ac:dyDescent="0.3">
      <c r="A8" s="50">
        <v>45689</v>
      </c>
      <c r="B8">
        <v>3.87</v>
      </c>
      <c r="C8">
        <v>14.663</v>
      </c>
      <c r="D8">
        <v>4.45</v>
      </c>
      <c r="E8">
        <v>4.6399999999999997</v>
      </c>
    </row>
    <row r="9" spans="1:5" x14ac:dyDescent="0.3">
      <c r="A9" s="50">
        <v>45658</v>
      </c>
      <c r="B9">
        <v>2.64</v>
      </c>
      <c r="C9">
        <v>10.003</v>
      </c>
      <c r="D9">
        <v>4.3899999999999997</v>
      </c>
      <c r="E9">
        <v>4.7300000000000004</v>
      </c>
    </row>
    <row r="10" spans="1:5" x14ac:dyDescent="0.3">
      <c r="A10" s="50">
        <v>45627</v>
      </c>
      <c r="B10">
        <v>2.59</v>
      </c>
      <c r="C10">
        <v>9.8140000000000001</v>
      </c>
      <c r="D10">
        <v>3.92</v>
      </c>
      <c r="E10">
        <v>4</v>
      </c>
    </row>
    <row r="11" spans="1:5" x14ac:dyDescent="0.3">
      <c r="A11" s="50">
        <v>45597</v>
      </c>
      <c r="B11">
        <v>2.61</v>
      </c>
      <c r="C11">
        <v>9.8889999999999993</v>
      </c>
      <c r="D11">
        <v>3.44</v>
      </c>
      <c r="E11">
        <v>2.7</v>
      </c>
    </row>
    <row r="12" spans="1:5" x14ac:dyDescent="0.3">
      <c r="A12" s="50">
        <v>45566</v>
      </c>
      <c r="B12">
        <v>2.57</v>
      </c>
      <c r="C12">
        <v>9.7379999999999995</v>
      </c>
      <c r="D12">
        <v>2.69</v>
      </c>
      <c r="E12">
        <v>3.65</v>
      </c>
    </row>
    <row r="13" spans="1:5" x14ac:dyDescent="0.3">
      <c r="A13" s="50">
        <v>45536</v>
      </c>
      <c r="B13">
        <v>2.4900000000000002</v>
      </c>
      <c r="C13">
        <v>9.4350000000000005</v>
      </c>
      <c r="D13">
        <v>3.24</v>
      </c>
      <c r="E13">
        <v>1.96</v>
      </c>
    </row>
    <row r="14" spans="1:5" x14ac:dyDescent="0.3">
      <c r="A14" s="50">
        <v>45505</v>
      </c>
      <c r="B14">
        <v>2.5</v>
      </c>
      <c r="C14">
        <v>9.4730000000000008</v>
      </c>
      <c r="D14">
        <v>3.25</v>
      </c>
      <c r="E14">
        <v>2.04</v>
      </c>
    </row>
    <row r="15" spans="1:5" x14ac:dyDescent="0.3">
      <c r="A15" s="50">
        <v>45474</v>
      </c>
      <c r="B15">
        <v>2.81</v>
      </c>
      <c r="C15">
        <v>10.647</v>
      </c>
      <c r="D15">
        <v>3.48</v>
      </c>
      <c r="E15">
        <v>2.64</v>
      </c>
    </row>
    <row r="16" spans="1:5" x14ac:dyDescent="0.3">
      <c r="A16" s="50">
        <v>45444</v>
      </c>
      <c r="B16">
        <v>2.62</v>
      </c>
      <c r="C16">
        <v>9.9269999999999996</v>
      </c>
      <c r="D16">
        <v>3.33</v>
      </c>
      <c r="E16">
        <v>2.15</v>
      </c>
    </row>
    <row r="17" spans="1:5" x14ac:dyDescent="0.3">
      <c r="A17" s="50">
        <v>45413</v>
      </c>
      <c r="B17">
        <v>2.46</v>
      </c>
      <c r="C17">
        <v>9.3209999999999997</v>
      </c>
      <c r="D17">
        <v>3.21</v>
      </c>
      <c r="E17">
        <v>1.88</v>
      </c>
    </row>
    <row r="18" spans="1:5" x14ac:dyDescent="0.3">
      <c r="A18" s="50">
        <v>45383</v>
      </c>
      <c r="B18">
        <v>2.42</v>
      </c>
      <c r="C18">
        <v>9.1690000000000005</v>
      </c>
      <c r="D18">
        <v>3.03</v>
      </c>
      <c r="E18">
        <v>2.06</v>
      </c>
    </row>
    <row r="19" spans="1:5" x14ac:dyDescent="0.3">
      <c r="A19" s="50">
        <v>45352</v>
      </c>
      <c r="B19">
        <v>2.38</v>
      </c>
      <c r="C19">
        <v>9.0180000000000007</v>
      </c>
      <c r="D19">
        <v>3.06</v>
      </c>
      <c r="E19">
        <v>2.15</v>
      </c>
    </row>
    <row r="20" spans="1:5" x14ac:dyDescent="0.3">
      <c r="A20" s="50">
        <v>45323</v>
      </c>
      <c r="B20">
        <v>2.89</v>
      </c>
      <c r="C20">
        <v>10.95</v>
      </c>
      <c r="D20">
        <v>3.06</v>
      </c>
      <c r="E20">
        <v>2.83</v>
      </c>
    </row>
    <row r="21" spans="1:5" x14ac:dyDescent="0.3">
      <c r="A21" s="50">
        <v>45292</v>
      </c>
      <c r="B21">
        <v>2.37</v>
      </c>
      <c r="C21">
        <v>8.98</v>
      </c>
      <c r="D21">
        <v>3.02</v>
      </c>
      <c r="E21">
        <v>2.91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B8B85-6C56-40AC-8FF1-9FEE62F4810E}">
  <dimension ref="B2:AF202"/>
  <sheetViews>
    <sheetView topLeftCell="A188" zoomScale="70" zoomScaleNormal="70" workbookViewId="0">
      <selection activeCell="G95" sqref="G95"/>
    </sheetView>
  </sheetViews>
  <sheetFormatPr defaultRowHeight="14.4" x14ac:dyDescent="0.3"/>
  <cols>
    <col min="2" max="2" width="19.77734375" bestFit="1" customWidth="1"/>
    <col min="3" max="3" width="18.77734375" bestFit="1" customWidth="1"/>
    <col min="4" max="4" width="28.5546875" bestFit="1" customWidth="1"/>
    <col min="5" max="5" width="18" bestFit="1" customWidth="1"/>
    <col min="6" max="6" width="29.88671875" bestFit="1" customWidth="1"/>
    <col min="7" max="7" width="25.33203125" bestFit="1" customWidth="1"/>
    <col min="8" max="8" width="36.5546875" bestFit="1" customWidth="1"/>
    <col min="9" max="9" width="34.77734375" bestFit="1" customWidth="1"/>
    <col min="10" max="10" width="25.44140625" bestFit="1" customWidth="1"/>
    <col min="11" max="11" width="19.21875" bestFit="1" customWidth="1"/>
    <col min="12" max="12" width="18.5546875" bestFit="1" customWidth="1"/>
    <col min="13" max="13" width="11.77734375" bestFit="1" customWidth="1"/>
    <col min="14" max="14" width="22.44140625" bestFit="1" customWidth="1"/>
    <col min="15" max="15" width="19.6640625" bestFit="1" customWidth="1"/>
    <col min="16" max="16" width="28.77734375" bestFit="1" customWidth="1"/>
    <col min="17" max="17" width="11.77734375" bestFit="1" customWidth="1"/>
    <col min="18" max="18" width="22.44140625" bestFit="1" customWidth="1"/>
    <col min="19" max="19" width="19.6640625" bestFit="1" customWidth="1"/>
    <col min="20" max="20" width="28.77734375" bestFit="1" customWidth="1"/>
    <col min="21" max="21" width="11.77734375" bestFit="1" customWidth="1"/>
    <col min="22" max="22" width="22.44140625" bestFit="1" customWidth="1"/>
    <col min="23" max="23" width="19.6640625" bestFit="1" customWidth="1"/>
    <col min="24" max="24" width="28.77734375" bestFit="1" customWidth="1"/>
    <col min="25" max="25" width="11.77734375" bestFit="1" customWidth="1"/>
    <col min="26" max="26" width="22.44140625" bestFit="1" customWidth="1"/>
    <col min="27" max="27" width="19.6640625" bestFit="1" customWidth="1"/>
    <col min="28" max="28" width="28.77734375" bestFit="1" customWidth="1"/>
    <col min="29" max="29" width="11.77734375" bestFit="1" customWidth="1"/>
    <col min="30" max="30" width="22.88671875" bestFit="1" customWidth="1"/>
    <col min="31" max="31" width="28.77734375" bestFit="1" customWidth="1"/>
    <col min="32" max="32" width="19.6640625" bestFit="1" customWidth="1"/>
  </cols>
  <sheetData>
    <row r="2" spans="2:32" x14ac:dyDescent="0.3">
      <c r="B2" s="162"/>
      <c r="M2" s="222" t="s">
        <v>166</v>
      </c>
      <c r="N2" s="222"/>
      <c r="O2" s="222"/>
      <c r="P2" s="163"/>
      <c r="Q2" s="223" t="s">
        <v>167</v>
      </c>
      <c r="R2" s="223"/>
      <c r="S2" s="223"/>
      <c r="T2" s="164"/>
      <c r="U2" s="224" t="s">
        <v>168</v>
      </c>
      <c r="V2" s="225"/>
      <c r="W2" s="226"/>
      <c r="X2" s="165"/>
      <c r="Y2" s="227" t="s">
        <v>169</v>
      </c>
      <c r="Z2" s="228"/>
      <c r="AA2" s="229"/>
      <c r="AB2" s="166"/>
      <c r="AC2" s="218" t="s">
        <v>170</v>
      </c>
      <c r="AD2" s="219"/>
      <c r="AE2" s="219"/>
      <c r="AF2" s="220"/>
    </row>
    <row r="3" spans="2:32" x14ac:dyDescent="0.3">
      <c r="B3" s="162"/>
      <c r="M3" s="167" t="s">
        <v>171</v>
      </c>
      <c r="N3" s="167" t="s">
        <v>172</v>
      </c>
      <c r="O3" s="167"/>
      <c r="P3" s="167"/>
      <c r="Q3" s="168" t="s">
        <v>171</v>
      </c>
      <c r="R3" s="168" t="s">
        <v>172</v>
      </c>
      <c r="S3" s="168"/>
      <c r="T3" s="168"/>
      <c r="U3" s="169" t="s">
        <v>171</v>
      </c>
      <c r="V3" s="169" t="s">
        <v>172</v>
      </c>
      <c r="W3" s="170"/>
      <c r="X3" s="170"/>
      <c r="Y3" s="171" t="s">
        <v>171</v>
      </c>
      <c r="Z3" s="171" t="s">
        <v>172</v>
      </c>
      <c r="AA3" s="171"/>
      <c r="AB3" s="171"/>
      <c r="AC3" s="172" t="s">
        <v>171</v>
      </c>
      <c r="AD3" s="172" t="s">
        <v>172</v>
      </c>
      <c r="AE3" s="172"/>
      <c r="AF3" s="172"/>
    </row>
    <row r="4" spans="2:32" x14ac:dyDescent="0.3">
      <c r="H4" s="221" t="s">
        <v>173</v>
      </c>
      <c r="I4" s="221"/>
      <c r="J4" s="221"/>
      <c r="K4" s="173"/>
      <c r="M4" s="167">
        <v>900</v>
      </c>
      <c r="N4" s="167">
        <v>5</v>
      </c>
      <c r="O4" s="174"/>
      <c r="P4" s="175"/>
      <c r="Q4" s="176">
        <v>2000</v>
      </c>
      <c r="R4" s="176">
        <v>5</v>
      </c>
      <c r="S4" s="177"/>
      <c r="T4" s="177"/>
      <c r="U4" s="178">
        <v>2000</v>
      </c>
      <c r="V4" s="178">
        <v>7.5</v>
      </c>
      <c r="W4" s="170"/>
      <c r="X4" s="179"/>
      <c r="Y4" s="180">
        <v>2500</v>
      </c>
      <c r="Z4" s="180">
        <v>5</v>
      </c>
      <c r="AA4" s="171"/>
      <c r="AB4" s="180"/>
      <c r="AC4" s="181">
        <v>2200</v>
      </c>
      <c r="AD4" s="181">
        <v>4</v>
      </c>
      <c r="AE4" s="181"/>
      <c r="AF4" s="172"/>
    </row>
    <row r="5" spans="2:32" x14ac:dyDescent="0.3">
      <c r="B5" s="182" t="s">
        <v>174</v>
      </c>
      <c r="C5" s="183" t="s">
        <v>175</v>
      </c>
      <c r="D5" s="183" t="s">
        <v>176</v>
      </c>
      <c r="E5" s="183" t="s">
        <v>177</v>
      </c>
      <c r="F5" s="183" t="s">
        <v>178</v>
      </c>
      <c r="G5" s="183" t="s">
        <v>179</v>
      </c>
      <c r="H5" s="183" t="s">
        <v>180</v>
      </c>
      <c r="I5" s="183" t="s">
        <v>181</v>
      </c>
      <c r="J5" s="183" t="s">
        <v>182</v>
      </c>
      <c r="K5" s="183" t="s">
        <v>183</v>
      </c>
      <c r="L5" s="183" t="s">
        <v>184</v>
      </c>
      <c r="M5" s="183" t="s">
        <v>185</v>
      </c>
      <c r="N5" s="183" t="s">
        <v>186</v>
      </c>
      <c r="O5" s="183" t="s">
        <v>187</v>
      </c>
      <c r="P5" s="183" t="s">
        <v>188</v>
      </c>
      <c r="Q5" s="184" t="s">
        <v>189</v>
      </c>
      <c r="R5" s="184" t="s">
        <v>190</v>
      </c>
      <c r="S5" s="184" t="s">
        <v>191</v>
      </c>
      <c r="T5" s="183" t="s">
        <v>192</v>
      </c>
      <c r="U5" s="185" t="s">
        <v>193</v>
      </c>
      <c r="V5" s="185" t="s">
        <v>194</v>
      </c>
      <c r="W5" s="185" t="s">
        <v>195</v>
      </c>
      <c r="X5" s="183" t="s">
        <v>196</v>
      </c>
      <c r="Y5" s="186" t="s">
        <v>197</v>
      </c>
      <c r="Z5" s="186" t="s">
        <v>198</v>
      </c>
      <c r="AA5" s="186" t="s">
        <v>199</v>
      </c>
      <c r="AB5" s="183" t="s">
        <v>200</v>
      </c>
      <c r="AC5" s="187" t="s">
        <v>201</v>
      </c>
      <c r="AD5" s="187" t="s">
        <v>202</v>
      </c>
      <c r="AE5" s="183" t="s">
        <v>203</v>
      </c>
      <c r="AF5" s="187" t="s">
        <v>204</v>
      </c>
    </row>
    <row r="6" spans="2:32" x14ac:dyDescent="0.3">
      <c r="B6" s="188" t="s">
        <v>205</v>
      </c>
      <c r="C6" s="189" t="s">
        <v>206</v>
      </c>
      <c r="D6" s="189">
        <v>1</v>
      </c>
      <c r="E6" s="189">
        <v>50000</v>
      </c>
      <c r="F6" s="190">
        <f>Tableau4[[#This Row],[Economies totales (m3)]]/Tableau4[[#This Row],[Nombres appareils installés]]</f>
        <v>1068</v>
      </c>
      <c r="G6" s="191">
        <v>1068</v>
      </c>
      <c r="H6" s="189">
        <f t="shared" ref="H6:H69" si="0">(0.00000003*E6^2 - 0.0001*E6 + 1533.4)</f>
        <v>1603.4</v>
      </c>
      <c r="I6" s="189">
        <v>2400</v>
      </c>
      <c r="J6" s="189">
        <f>Tableau4[[#This Row],[Surcoût moyens de l''équipement ($)]]+Tableau4[[#This Row],[Surcoût moyen de l''installation ($)]]</f>
        <v>4003.4</v>
      </c>
      <c r="K6" s="189">
        <f>Tableau4[[#This Row],[Surcoût par appareil ($)]]*Tableau4[[#This Row],[Nombres appareils installés]]</f>
        <v>4003.4</v>
      </c>
      <c r="L6" s="191">
        <v>1700</v>
      </c>
      <c r="M6" s="189">
        <f t="shared" ref="M6:M69" si="1">($M$4+$N$4*(E6/1000))*D6</f>
        <v>1150</v>
      </c>
      <c r="N6" s="189">
        <f>Tableau4[[#This Row],[AF 0 ($)]]/Tableau4[[#This Row],[Nombres appareils installés]]</f>
        <v>1150</v>
      </c>
      <c r="O6" s="192">
        <f>(Tableau4[[#This Row],[AF accordée ($)]])/($J$6*D6)</f>
        <v>0.42463905680171854</v>
      </c>
      <c r="P6" s="192">
        <f>Tableau4[[#This Row],[Couverture 0 (%)]]*Tableau4[[#This Row],[Nombres appareils installés]]</f>
        <v>0.42463905680171854</v>
      </c>
      <c r="Q6" s="189">
        <f>($Q$4+$R$4*(Tableau4[[#This Row],[Capacité (BTU)]]/1000))*Tableau4[[#This Row],[Nombres appareils installés]]</f>
        <v>2250</v>
      </c>
      <c r="R6" s="189">
        <f>Tableau4[[#This Row],[AF 1 ($)]]/Tableau4[[#This Row],[Nombres appareils installés]]</f>
        <v>2250</v>
      </c>
      <c r="S6" s="192">
        <f>Tableau4[[#This Row],[AF 1 ($)]]/(J6*D6)</f>
        <v>0.56202228106109808</v>
      </c>
      <c r="T6" s="192">
        <f>Tableau4[[#This Row],[Couverture 1 (%)]]*Tableau4[[#This Row],[Nombres appareils installés]]</f>
        <v>0.56202228106109808</v>
      </c>
      <c r="U6" s="189">
        <f>($U$4+($V$4*(Tableau4[[#This Row],[Capacité (BTU)]]/1000)))*Tableau4[[#This Row],[Nombres appareils installés]]</f>
        <v>2375</v>
      </c>
      <c r="V6" s="189">
        <f>Tableau4[[#This Row],[AF 2 ($)]]/Tableau4[[#This Row],[Nombres appareils installés]]</f>
        <v>2375</v>
      </c>
      <c r="W6" s="193">
        <f>Tableau4[[#This Row],[AF 2 par appareil ($)]]/Tableau4[[#This Row],[Surcoût par appareil ($)]]</f>
        <v>0.59324574112004791</v>
      </c>
      <c r="X6" s="193">
        <f>Tableau4[[#This Row],[Couverture 2 (%)]]*Tableau4[[#This Row],[Nombres appareils installés]]</f>
        <v>0.59324574112004791</v>
      </c>
      <c r="Y6" s="189">
        <f>($Y$4+$Z$4*(Tableau4[[#This Row],[Capacité (BTU)]]/1000))*Tableau4[[#This Row],[Nombres appareils installés]]</f>
        <v>2750</v>
      </c>
      <c r="Z6" s="189">
        <f>Tableau4[[#This Row],[AF 3 ($)]]/Tableau4[[#This Row],[Nombres appareils installés]]</f>
        <v>2750</v>
      </c>
      <c r="AA6" s="194">
        <f>Tableau4[[#This Row],[AF 3 par appareil ($)]]/Tableau4[[#This Row],[Surcoût par appareil ($)]]</f>
        <v>0.68691612129689761</v>
      </c>
      <c r="AB6" s="192">
        <f>Tableau4[[#This Row],[Couverture 3 (%)]]*Tableau4[[#This Row],[Nombres appareils installés]]</f>
        <v>0.68691612129689761</v>
      </c>
      <c r="AC6" s="189">
        <f>($AC$4+$AD$4*(Tableau4[[#This Row],[Capacité (BTU)]]/1000))*Tableau4[[#This Row],[Nombres appareils installés]]</f>
        <v>2400</v>
      </c>
      <c r="AD6" s="189">
        <f>Tableau4[[#This Row],[AF 4 ($)]]/Tableau4[[#This Row],[Nombres appareils installés]]</f>
        <v>2400</v>
      </c>
      <c r="AE6" s="193">
        <f>Tableau4[[#This Row],[Couverture 4 (%)]]*Tableau4[[#This Row],[Nombres appareils installés]]</f>
        <v>0.59949043313183792</v>
      </c>
      <c r="AF6" s="194">
        <f>Tableau4[[#This Row],[AF 4 par appareil  ($)]]/Tableau4[[#This Row],[Surcoût par appareil ($)]]</f>
        <v>0.59949043313183792</v>
      </c>
    </row>
    <row r="7" spans="2:32" x14ac:dyDescent="0.3">
      <c r="B7" s="188" t="s">
        <v>205</v>
      </c>
      <c r="C7" s="189" t="s">
        <v>207</v>
      </c>
      <c r="D7" s="189">
        <v>1</v>
      </c>
      <c r="E7" s="189">
        <v>55000</v>
      </c>
      <c r="F7" s="190">
        <f>Tableau4[[#This Row],[Economies totales (m3)]]/Tableau4[[#This Row],[Nombres appareils installés]]</f>
        <v>1068</v>
      </c>
      <c r="G7" s="191">
        <v>1068</v>
      </c>
      <c r="H7" s="189">
        <f t="shared" si="0"/>
        <v>1618.65</v>
      </c>
      <c r="I7" s="189">
        <v>2400</v>
      </c>
      <c r="J7" s="189">
        <f>Tableau4[[#This Row],[Surcoût moyens de l''équipement ($)]]+Tableau4[[#This Row],[Surcoût moyen de l''installation ($)]]</f>
        <v>4018.65</v>
      </c>
      <c r="K7" s="189">
        <f>Tableau4[[#This Row],[Surcoût par appareil ($)]]*Tableau4[[#This Row],[Nombres appareils installés]]</f>
        <v>4018.65</v>
      </c>
      <c r="L7" s="191">
        <v>1700</v>
      </c>
      <c r="M7" s="189">
        <f t="shared" si="1"/>
        <v>1175</v>
      </c>
      <c r="N7" s="189">
        <f>Tableau4[[#This Row],[AF 0 ($)]]/Tableau4[[#This Row],[Nombres appareils installés]]</f>
        <v>1175</v>
      </c>
      <c r="O7" s="192">
        <f>(Tableau4[[#This Row],[AF accordée ($)]])/($J$6*D7)</f>
        <v>0.42463905680171854</v>
      </c>
      <c r="P7" s="192">
        <f>Tableau4[[#This Row],[Couverture 0 (%)]]*Tableau4[[#This Row],[Nombres appareils installés]]</f>
        <v>0.42463905680171854</v>
      </c>
      <c r="Q7" s="189">
        <f>($Q$4+$R$4*(Tableau4[[#This Row],[Capacité (BTU)]]/1000))*Tableau4[[#This Row],[Nombres appareils installés]]</f>
        <v>2275</v>
      </c>
      <c r="R7" s="189">
        <f>Tableau4[[#This Row],[AF 1 ($)]]/Tableau4[[#This Row],[Nombres appareils installés]]</f>
        <v>2275</v>
      </c>
      <c r="S7" s="192">
        <f>Tableau4[[#This Row],[AF 1 ($)]]/(J7*D7)</f>
        <v>0.56611050974829857</v>
      </c>
      <c r="T7" s="192">
        <f>Tableau4[[#This Row],[Couverture 1 (%)]]*Tableau4[[#This Row],[Nombres appareils installés]]</f>
        <v>0.56611050974829857</v>
      </c>
      <c r="U7" s="189">
        <f>($U$4+($V$4*(Tableau4[[#This Row],[Capacité (BTU)]]/1000)))*Tableau4[[#This Row],[Nombres appareils installés]]</f>
        <v>2412.5</v>
      </c>
      <c r="V7" s="189">
        <f>Tableau4[[#This Row],[AF 2 ($)]]/Tableau4[[#This Row],[Nombres appareils installés]]</f>
        <v>2412.5</v>
      </c>
      <c r="W7" s="193">
        <f>Tableau4[[#This Row],[AF 2 par appareil ($)]]/Tableau4[[#This Row],[Surcoût par appareil ($)]]</f>
        <v>0.60032598011770122</v>
      </c>
      <c r="X7" s="193">
        <f>Tableau4[[#This Row],[Couverture 2 (%)]]*Tableau4[[#This Row],[Nombres appareils installés]]</f>
        <v>0.60032598011770122</v>
      </c>
      <c r="Y7" s="189">
        <f>($Y$4+$Z$4*(Tableau4[[#This Row],[Capacité (BTU)]]/1000))*Tableau4[[#This Row],[Nombres appareils installés]]</f>
        <v>2775</v>
      </c>
      <c r="Z7" s="189">
        <f>Tableau4[[#This Row],[AF 3 ($)]]/Tableau4[[#This Row],[Nombres appareils installés]]</f>
        <v>2775</v>
      </c>
      <c r="AA7" s="194">
        <f>Tableau4[[#This Row],[AF 3 par appareil ($)]]/Tableau4[[#This Row],[Surcoût par appareil ($)]]</f>
        <v>0.69053040200067184</v>
      </c>
      <c r="AB7" s="194">
        <f>Tableau4[[#This Row],[Couverture 3 (%)]]*Tableau4[[#This Row],[Nombres appareils installés]]</f>
        <v>0.69053040200067184</v>
      </c>
      <c r="AC7" s="189">
        <f>($AC$4+$AD$4*(Tableau4[[#This Row],[Capacité (BTU)]]/1000))*Tableau4[[#This Row],[Nombres appareils installés]]</f>
        <v>2420</v>
      </c>
      <c r="AD7" s="189">
        <f>Tableau4[[#This Row],[AF 4 ($)]]/Tableau4[[#This Row],[Nombres appareils installés]]</f>
        <v>2420</v>
      </c>
      <c r="AE7" s="195">
        <f>Tableau4[[#This Row],[Couverture 4 (%)]]*Tableau4[[#This Row],[Nombres appareils installés]]</f>
        <v>0.60219227850148682</v>
      </c>
      <c r="AF7" s="194">
        <f>Tableau4[[#This Row],[AF 4 par appareil  ($)]]/Tableau4[[#This Row],[Surcoût par appareil ($)]]</f>
        <v>0.60219227850148682</v>
      </c>
    </row>
    <row r="8" spans="2:32" x14ac:dyDescent="0.3">
      <c r="B8" s="188" t="s">
        <v>205</v>
      </c>
      <c r="C8" s="189" t="s">
        <v>208</v>
      </c>
      <c r="D8" s="189">
        <v>1</v>
      </c>
      <c r="E8" s="189">
        <v>55000</v>
      </c>
      <c r="F8" s="190">
        <f>Tableau4[[#This Row],[Economies totales (m3)]]/Tableau4[[#This Row],[Nombres appareils installés]]</f>
        <v>1068</v>
      </c>
      <c r="G8" s="191">
        <v>1068</v>
      </c>
      <c r="H8" s="189">
        <f t="shared" si="0"/>
        <v>1618.65</v>
      </c>
      <c r="I8" s="189">
        <v>2400</v>
      </c>
      <c r="J8" s="189">
        <f>Tableau4[[#This Row],[Surcoût moyens de l''équipement ($)]]+Tableau4[[#This Row],[Surcoût moyen de l''installation ($)]]</f>
        <v>4018.65</v>
      </c>
      <c r="K8" s="189">
        <f>Tableau4[[#This Row],[Surcoût par appareil ($)]]*Tableau4[[#This Row],[Nombres appareils installés]]</f>
        <v>4018.65</v>
      </c>
      <c r="L8" s="191">
        <v>1700</v>
      </c>
      <c r="M8" s="189">
        <f t="shared" si="1"/>
        <v>1175</v>
      </c>
      <c r="N8" s="189">
        <f>Tableau4[[#This Row],[AF 0 ($)]]/Tableau4[[#This Row],[Nombres appareils installés]]</f>
        <v>1175</v>
      </c>
      <c r="O8" s="192">
        <f>(Tableau4[[#This Row],[AF accordée ($)]])/($J$6*D8)</f>
        <v>0.42463905680171854</v>
      </c>
      <c r="P8" s="192">
        <f>Tableau4[[#This Row],[Couverture 0 (%)]]*Tableau4[[#This Row],[Nombres appareils installés]]</f>
        <v>0.42463905680171854</v>
      </c>
      <c r="Q8" s="189">
        <f>($Q$4+$R$4*(Tableau4[[#This Row],[Capacité (BTU)]]/1000))*Tableau4[[#This Row],[Nombres appareils installés]]</f>
        <v>2275</v>
      </c>
      <c r="R8" s="189">
        <f>Tableau4[[#This Row],[AF 1 ($)]]/Tableau4[[#This Row],[Nombres appareils installés]]</f>
        <v>2275</v>
      </c>
      <c r="S8" s="192">
        <f>Tableau4[[#This Row],[AF 1 ($)]]/(J8*D8)</f>
        <v>0.56611050974829857</v>
      </c>
      <c r="T8" s="192">
        <f>Tableau4[[#This Row],[Couverture 1 (%)]]*Tableau4[[#This Row],[Nombres appareils installés]]</f>
        <v>0.56611050974829857</v>
      </c>
      <c r="U8" s="189">
        <f>($U$4+($V$4*(Tableau4[[#This Row],[Capacité (BTU)]]/1000)))*Tableau4[[#This Row],[Nombres appareils installés]]</f>
        <v>2412.5</v>
      </c>
      <c r="V8" s="189">
        <f>Tableau4[[#This Row],[AF 2 ($)]]/Tableau4[[#This Row],[Nombres appareils installés]]</f>
        <v>2412.5</v>
      </c>
      <c r="W8" s="193">
        <f>Tableau4[[#This Row],[AF 2 par appareil ($)]]/Tableau4[[#This Row],[Surcoût par appareil ($)]]</f>
        <v>0.60032598011770122</v>
      </c>
      <c r="X8" s="193">
        <f>Tableau4[[#This Row],[Couverture 2 (%)]]*Tableau4[[#This Row],[Nombres appareils installés]]</f>
        <v>0.60032598011770122</v>
      </c>
      <c r="Y8" s="189">
        <f>($Y$4+$Z$4*(Tableau4[[#This Row],[Capacité (BTU)]]/1000))*Tableau4[[#This Row],[Nombres appareils installés]]</f>
        <v>2775</v>
      </c>
      <c r="Z8" s="189">
        <f>Tableau4[[#This Row],[AF 3 ($)]]/Tableau4[[#This Row],[Nombres appareils installés]]</f>
        <v>2775</v>
      </c>
      <c r="AA8" s="194">
        <f>Tableau4[[#This Row],[AF 3 par appareil ($)]]/Tableau4[[#This Row],[Surcoût par appareil ($)]]</f>
        <v>0.69053040200067184</v>
      </c>
      <c r="AB8" s="194">
        <f>Tableau4[[#This Row],[Couverture 3 (%)]]*Tableau4[[#This Row],[Nombres appareils installés]]</f>
        <v>0.69053040200067184</v>
      </c>
      <c r="AC8" s="189">
        <f>($AC$4+$AD$4*(Tableau4[[#This Row],[Capacité (BTU)]]/1000))*Tableau4[[#This Row],[Nombres appareils installés]]</f>
        <v>2420</v>
      </c>
      <c r="AD8" s="189">
        <f>Tableau4[[#This Row],[AF 4 ($)]]/Tableau4[[#This Row],[Nombres appareils installés]]</f>
        <v>2420</v>
      </c>
      <c r="AE8" s="195">
        <f>Tableau4[[#This Row],[Couverture 4 (%)]]*Tableau4[[#This Row],[Nombres appareils installés]]</f>
        <v>0.60219227850148682</v>
      </c>
      <c r="AF8" s="194">
        <f>Tableau4[[#This Row],[AF 4 par appareil  ($)]]/Tableau4[[#This Row],[Surcoût par appareil ($)]]</f>
        <v>0.60219227850148682</v>
      </c>
    </row>
    <row r="9" spans="2:32" x14ac:dyDescent="0.3">
      <c r="B9" s="188" t="s">
        <v>205</v>
      </c>
      <c r="C9" s="189" t="s">
        <v>209</v>
      </c>
      <c r="D9" s="189">
        <v>1</v>
      </c>
      <c r="E9" s="189">
        <v>55000</v>
      </c>
      <c r="F9" s="190">
        <f>Tableau4[[#This Row],[Economies totales (m3)]]/Tableau4[[#This Row],[Nombres appareils installés]]</f>
        <v>1068</v>
      </c>
      <c r="G9" s="191">
        <v>1068</v>
      </c>
      <c r="H9" s="189">
        <f t="shared" si="0"/>
        <v>1618.65</v>
      </c>
      <c r="I9" s="189">
        <v>2400</v>
      </c>
      <c r="J9" s="189">
        <f>Tableau4[[#This Row],[Surcoût moyens de l''équipement ($)]]+Tableau4[[#This Row],[Surcoût moyen de l''installation ($)]]</f>
        <v>4018.65</v>
      </c>
      <c r="K9" s="189">
        <f>Tableau4[[#This Row],[Surcoût par appareil ($)]]*Tableau4[[#This Row],[Nombres appareils installés]]</f>
        <v>4018.65</v>
      </c>
      <c r="L9" s="191">
        <v>1700</v>
      </c>
      <c r="M9" s="189">
        <f t="shared" si="1"/>
        <v>1175</v>
      </c>
      <c r="N9" s="189">
        <f>Tableau4[[#This Row],[AF 0 ($)]]/Tableau4[[#This Row],[Nombres appareils installés]]</f>
        <v>1175</v>
      </c>
      <c r="O9" s="192">
        <f>(Tableau4[[#This Row],[AF accordée ($)]])/($J$6*D9)</f>
        <v>0.42463905680171854</v>
      </c>
      <c r="P9" s="192">
        <f>Tableau4[[#This Row],[Couverture 0 (%)]]*Tableau4[[#This Row],[Nombres appareils installés]]</f>
        <v>0.42463905680171854</v>
      </c>
      <c r="Q9" s="189">
        <f>($Q$4+$R$4*(Tableau4[[#This Row],[Capacité (BTU)]]/1000))*Tableau4[[#This Row],[Nombres appareils installés]]</f>
        <v>2275</v>
      </c>
      <c r="R9" s="189">
        <f>Tableau4[[#This Row],[AF 1 ($)]]/Tableau4[[#This Row],[Nombres appareils installés]]</f>
        <v>2275</v>
      </c>
      <c r="S9" s="192">
        <f>Tableau4[[#This Row],[AF 1 ($)]]/(J9*D9)</f>
        <v>0.56611050974829857</v>
      </c>
      <c r="T9" s="192">
        <f>Tableau4[[#This Row],[Couverture 1 (%)]]*Tableau4[[#This Row],[Nombres appareils installés]]</f>
        <v>0.56611050974829857</v>
      </c>
      <c r="U9" s="189">
        <f>($U$4+($V$4*(Tableau4[[#This Row],[Capacité (BTU)]]/1000)))*Tableau4[[#This Row],[Nombres appareils installés]]</f>
        <v>2412.5</v>
      </c>
      <c r="V9" s="189">
        <f>Tableau4[[#This Row],[AF 2 ($)]]/Tableau4[[#This Row],[Nombres appareils installés]]</f>
        <v>2412.5</v>
      </c>
      <c r="W9" s="193">
        <f>Tableau4[[#This Row],[AF 2 par appareil ($)]]/Tableau4[[#This Row],[Surcoût par appareil ($)]]</f>
        <v>0.60032598011770122</v>
      </c>
      <c r="X9" s="193">
        <f>Tableau4[[#This Row],[Couverture 2 (%)]]*Tableau4[[#This Row],[Nombres appareils installés]]</f>
        <v>0.60032598011770122</v>
      </c>
      <c r="Y9" s="189">
        <f>($Y$4+$Z$4*(Tableau4[[#This Row],[Capacité (BTU)]]/1000))*Tableau4[[#This Row],[Nombres appareils installés]]</f>
        <v>2775</v>
      </c>
      <c r="Z9" s="189">
        <f>Tableau4[[#This Row],[AF 3 ($)]]/Tableau4[[#This Row],[Nombres appareils installés]]</f>
        <v>2775</v>
      </c>
      <c r="AA9" s="194">
        <f>Tableau4[[#This Row],[AF 3 par appareil ($)]]/Tableau4[[#This Row],[Surcoût par appareil ($)]]</f>
        <v>0.69053040200067184</v>
      </c>
      <c r="AB9" s="194">
        <f>Tableau4[[#This Row],[Couverture 3 (%)]]*Tableau4[[#This Row],[Nombres appareils installés]]</f>
        <v>0.69053040200067184</v>
      </c>
      <c r="AC9" s="189">
        <f>($AC$4+$AD$4*(Tableau4[[#This Row],[Capacité (BTU)]]/1000))*Tableau4[[#This Row],[Nombres appareils installés]]</f>
        <v>2420</v>
      </c>
      <c r="AD9" s="189">
        <f>Tableau4[[#This Row],[AF 4 ($)]]/Tableau4[[#This Row],[Nombres appareils installés]]</f>
        <v>2420</v>
      </c>
      <c r="AE9" s="195">
        <f>Tableau4[[#This Row],[Couverture 4 (%)]]*Tableau4[[#This Row],[Nombres appareils installés]]</f>
        <v>0.60219227850148682</v>
      </c>
      <c r="AF9" s="194">
        <f>Tableau4[[#This Row],[AF 4 par appareil  ($)]]/Tableau4[[#This Row],[Surcoût par appareil ($)]]</f>
        <v>0.60219227850148682</v>
      </c>
    </row>
    <row r="10" spans="2:32" x14ac:dyDescent="0.3">
      <c r="B10" s="188" t="s">
        <v>205</v>
      </c>
      <c r="C10" s="189" t="s">
        <v>210</v>
      </c>
      <c r="D10" s="189">
        <v>1</v>
      </c>
      <c r="E10" s="189">
        <v>55000</v>
      </c>
      <c r="F10" s="190">
        <f>Tableau4[[#This Row],[Economies totales (m3)]]/Tableau4[[#This Row],[Nombres appareils installés]]</f>
        <v>1068</v>
      </c>
      <c r="G10" s="191">
        <v>1068</v>
      </c>
      <c r="H10" s="189">
        <f t="shared" si="0"/>
        <v>1618.65</v>
      </c>
      <c r="I10" s="189">
        <v>2400</v>
      </c>
      <c r="J10" s="189">
        <f>Tableau4[[#This Row],[Surcoût moyens de l''équipement ($)]]+Tableau4[[#This Row],[Surcoût moyen de l''installation ($)]]</f>
        <v>4018.65</v>
      </c>
      <c r="K10" s="189">
        <f>Tableau4[[#This Row],[Surcoût par appareil ($)]]*Tableau4[[#This Row],[Nombres appareils installés]]</f>
        <v>4018.65</v>
      </c>
      <c r="L10" s="191">
        <v>1700</v>
      </c>
      <c r="M10" s="189">
        <f t="shared" si="1"/>
        <v>1175</v>
      </c>
      <c r="N10" s="189">
        <f>Tableau4[[#This Row],[AF 0 ($)]]/Tableau4[[#This Row],[Nombres appareils installés]]</f>
        <v>1175</v>
      </c>
      <c r="O10" s="192">
        <f>(Tableau4[[#This Row],[AF accordée ($)]])/($J$6*D10)</f>
        <v>0.42463905680171854</v>
      </c>
      <c r="P10" s="192">
        <f>Tableau4[[#This Row],[Couverture 0 (%)]]*Tableau4[[#This Row],[Nombres appareils installés]]</f>
        <v>0.42463905680171854</v>
      </c>
      <c r="Q10" s="189">
        <f>($Q$4+$R$4*(Tableau4[[#This Row],[Capacité (BTU)]]/1000))*Tableau4[[#This Row],[Nombres appareils installés]]</f>
        <v>2275</v>
      </c>
      <c r="R10" s="189">
        <f>Tableau4[[#This Row],[AF 1 ($)]]/Tableau4[[#This Row],[Nombres appareils installés]]</f>
        <v>2275</v>
      </c>
      <c r="S10" s="192">
        <f>Tableau4[[#This Row],[AF 1 ($)]]/(J10*D10)</f>
        <v>0.56611050974829857</v>
      </c>
      <c r="T10" s="192">
        <f>Tableau4[[#This Row],[Couverture 1 (%)]]*Tableau4[[#This Row],[Nombres appareils installés]]</f>
        <v>0.56611050974829857</v>
      </c>
      <c r="U10" s="189">
        <f>($U$4+($V$4*(Tableau4[[#This Row],[Capacité (BTU)]]/1000)))*Tableau4[[#This Row],[Nombres appareils installés]]</f>
        <v>2412.5</v>
      </c>
      <c r="V10" s="189">
        <f>Tableau4[[#This Row],[AF 2 ($)]]/Tableau4[[#This Row],[Nombres appareils installés]]</f>
        <v>2412.5</v>
      </c>
      <c r="W10" s="193">
        <f>Tableau4[[#This Row],[AF 2 par appareil ($)]]/Tableau4[[#This Row],[Surcoût par appareil ($)]]</f>
        <v>0.60032598011770122</v>
      </c>
      <c r="X10" s="193">
        <f>Tableau4[[#This Row],[Couverture 2 (%)]]*Tableau4[[#This Row],[Nombres appareils installés]]</f>
        <v>0.60032598011770122</v>
      </c>
      <c r="Y10" s="189">
        <f>($Y$4+$Z$4*(Tableau4[[#This Row],[Capacité (BTU)]]/1000))*Tableau4[[#This Row],[Nombres appareils installés]]</f>
        <v>2775</v>
      </c>
      <c r="Z10" s="189">
        <f>Tableau4[[#This Row],[AF 3 ($)]]/Tableau4[[#This Row],[Nombres appareils installés]]</f>
        <v>2775</v>
      </c>
      <c r="AA10" s="194">
        <f>Tableau4[[#This Row],[AF 3 par appareil ($)]]/Tableau4[[#This Row],[Surcoût par appareil ($)]]</f>
        <v>0.69053040200067184</v>
      </c>
      <c r="AB10" s="194">
        <f>Tableau4[[#This Row],[Couverture 3 (%)]]*Tableau4[[#This Row],[Nombres appareils installés]]</f>
        <v>0.69053040200067184</v>
      </c>
      <c r="AC10" s="189">
        <f>($AC$4+$AD$4*(Tableau4[[#This Row],[Capacité (BTU)]]/1000))*Tableau4[[#This Row],[Nombres appareils installés]]</f>
        <v>2420</v>
      </c>
      <c r="AD10" s="189">
        <f>Tableau4[[#This Row],[AF 4 ($)]]/Tableau4[[#This Row],[Nombres appareils installés]]</f>
        <v>2420</v>
      </c>
      <c r="AE10" s="195">
        <f>Tableau4[[#This Row],[Couverture 4 (%)]]*Tableau4[[#This Row],[Nombres appareils installés]]</f>
        <v>0.60219227850148682</v>
      </c>
      <c r="AF10" s="194">
        <f>Tableau4[[#This Row],[AF 4 par appareil  ($)]]/Tableau4[[#This Row],[Surcoût par appareil ($)]]</f>
        <v>0.60219227850148682</v>
      </c>
    </row>
    <row r="11" spans="2:32" x14ac:dyDescent="0.3">
      <c r="B11" s="188" t="s">
        <v>205</v>
      </c>
      <c r="C11" s="189" t="s">
        <v>211</v>
      </c>
      <c r="D11" s="189">
        <v>4</v>
      </c>
      <c r="E11" s="189">
        <v>55000</v>
      </c>
      <c r="F11" s="190">
        <f>Tableau4[[#This Row],[Economies totales (m3)]]/Tableau4[[#This Row],[Nombres appareils installés]]</f>
        <v>1068</v>
      </c>
      <c r="G11" s="191">
        <v>4272</v>
      </c>
      <c r="H11" s="189">
        <f t="shared" si="0"/>
        <v>1618.65</v>
      </c>
      <c r="I11" s="189">
        <v>2400</v>
      </c>
      <c r="J11" s="189">
        <f>Tableau4[[#This Row],[Surcoût moyens de l''équipement ($)]]+Tableau4[[#This Row],[Surcoût moyen de l''installation ($)]]</f>
        <v>4018.65</v>
      </c>
      <c r="K11" s="189">
        <f>Tableau4[[#This Row],[Surcoût par appareil ($)]]*Tableau4[[#This Row],[Nombres appareils installés]]</f>
        <v>16074.6</v>
      </c>
      <c r="L11" s="191">
        <v>6800</v>
      </c>
      <c r="M11" s="189">
        <f t="shared" si="1"/>
        <v>4700</v>
      </c>
      <c r="N11" s="189">
        <f>Tableau4[[#This Row],[AF 0 ($)]]/Tableau4[[#This Row],[Nombres appareils installés]]</f>
        <v>1175</v>
      </c>
      <c r="O11" s="192">
        <f>(Tableau4[[#This Row],[AF accordée ($)]])/($J$6*D11)</f>
        <v>0.42463905680171854</v>
      </c>
      <c r="P11" s="192">
        <f>Tableau4[[#This Row],[Couverture 0 (%)]]*Tableau4[[#This Row],[Nombres appareils installés]]</f>
        <v>1.6985562272068742</v>
      </c>
      <c r="Q11" s="189">
        <f>($Q$4+$R$4*(Tableau4[[#This Row],[Capacité (BTU)]]/1000))*Tableau4[[#This Row],[Nombres appareils installés]]</f>
        <v>9100</v>
      </c>
      <c r="R11" s="189">
        <f>Tableau4[[#This Row],[AF 1 ($)]]/Tableau4[[#This Row],[Nombres appareils installés]]</f>
        <v>2275</v>
      </c>
      <c r="S11" s="192">
        <f>Tableau4[[#This Row],[AF 1 ($)]]/(J11*D11)</f>
        <v>0.56611050974829857</v>
      </c>
      <c r="T11" s="192">
        <f>Tableau4[[#This Row],[Couverture 1 (%)]]*Tableau4[[#This Row],[Nombres appareils installés]]</f>
        <v>2.2644420389931943</v>
      </c>
      <c r="U11" s="189">
        <f>($U$4+($V$4*(Tableau4[[#This Row],[Capacité (BTU)]]/1000)))*Tableau4[[#This Row],[Nombres appareils installés]]</f>
        <v>9650</v>
      </c>
      <c r="V11" s="189">
        <f>Tableau4[[#This Row],[AF 2 ($)]]/Tableau4[[#This Row],[Nombres appareils installés]]</f>
        <v>2412.5</v>
      </c>
      <c r="W11" s="193">
        <f>Tableau4[[#This Row],[AF 2 par appareil ($)]]/Tableau4[[#This Row],[Surcoût par appareil ($)]]</f>
        <v>0.60032598011770122</v>
      </c>
      <c r="X11" s="193">
        <f>Tableau4[[#This Row],[Couverture 2 (%)]]*Tableau4[[#This Row],[Nombres appareils installés]]</f>
        <v>2.4013039204708049</v>
      </c>
      <c r="Y11" s="189">
        <f>($Y$4+$Z$4*(Tableau4[[#This Row],[Capacité (BTU)]]/1000))*Tableau4[[#This Row],[Nombres appareils installés]]</f>
        <v>11100</v>
      </c>
      <c r="Z11" s="189">
        <f>Tableau4[[#This Row],[AF 3 ($)]]/Tableau4[[#This Row],[Nombres appareils installés]]</f>
        <v>2775</v>
      </c>
      <c r="AA11" s="194">
        <f>Tableau4[[#This Row],[AF 3 par appareil ($)]]/Tableau4[[#This Row],[Surcoût par appareil ($)]]</f>
        <v>0.69053040200067184</v>
      </c>
      <c r="AB11" s="194">
        <f>Tableau4[[#This Row],[Couverture 3 (%)]]*Tableau4[[#This Row],[Nombres appareils installés]]</f>
        <v>2.7621216080026874</v>
      </c>
      <c r="AC11" s="189">
        <f>($AC$4+$AD$4*(Tableau4[[#This Row],[Capacité (BTU)]]/1000))*Tableau4[[#This Row],[Nombres appareils installés]]</f>
        <v>9680</v>
      </c>
      <c r="AD11" s="189">
        <f>Tableau4[[#This Row],[AF 4 ($)]]/Tableau4[[#This Row],[Nombres appareils installés]]</f>
        <v>2420</v>
      </c>
      <c r="AE11" s="195">
        <f>Tableau4[[#This Row],[Couverture 4 (%)]]*Tableau4[[#This Row],[Nombres appareils installés]]</f>
        <v>2.4087691140059473</v>
      </c>
      <c r="AF11" s="194">
        <f>Tableau4[[#This Row],[AF 4 par appareil  ($)]]/Tableau4[[#This Row],[Surcoût par appareil ($)]]</f>
        <v>0.60219227850148682</v>
      </c>
    </row>
    <row r="12" spans="2:32" x14ac:dyDescent="0.3">
      <c r="B12" s="188" t="s">
        <v>205</v>
      </c>
      <c r="C12" s="189" t="s">
        <v>212</v>
      </c>
      <c r="D12" s="189">
        <v>4</v>
      </c>
      <c r="E12" s="189">
        <v>65000</v>
      </c>
      <c r="F12" s="190">
        <f>Tableau4[[#This Row],[Economies totales (m3)]]/Tableau4[[#This Row],[Nombres appareils installés]]</f>
        <v>1068</v>
      </c>
      <c r="G12" s="191">
        <v>4272</v>
      </c>
      <c r="H12" s="189">
        <f t="shared" si="0"/>
        <v>1653.65</v>
      </c>
      <c r="I12" s="189">
        <v>2400</v>
      </c>
      <c r="J12" s="189">
        <f>Tableau4[[#This Row],[Surcoût moyens de l''équipement ($)]]+Tableau4[[#This Row],[Surcoût moyen de l''installation ($)]]</f>
        <v>4053.65</v>
      </c>
      <c r="K12" s="189">
        <f>Tableau4[[#This Row],[Surcoût par appareil ($)]]*Tableau4[[#This Row],[Nombres appareils installés]]</f>
        <v>16214.6</v>
      </c>
      <c r="L12" s="191">
        <v>6800</v>
      </c>
      <c r="M12" s="189">
        <f t="shared" si="1"/>
        <v>4900</v>
      </c>
      <c r="N12" s="189">
        <f>Tableau4[[#This Row],[AF 0 ($)]]/Tableau4[[#This Row],[Nombres appareils installés]]</f>
        <v>1225</v>
      </c>
      <c r="O12" s="192">
        <f>(Tableau4[[#This Row],[AF accordée ($)]])/($J$6*D12)</f>
        <v>0.42463905680171854</v>
      </c>
      <c r="P12" s="192">
        <f>Tableau4[[#This Row],[Couverture 0 (%)]]*Tableau4[[#This Row],[Nombres appareils installés]]</f>
        <v>1.6985562272068742</v>
      </c>
      <c r="Q12" s="189">
        <f>($Q$4+$R$4*(Tableau4[[#This Row],[Capacité (BTU)]]/1000))*Tableau4[[#This Row],[Nombres appareils installés]]</f>
        <v>9300</v>
      </c>
      <c r="R12" s="189">
        <f>Tableau4[[#This Row],[AF 1 ($)]]/Tableau4[[#This Row],[Nombres appareils installés]]</f>
        <v>2325</v>
      </c>
      <c r="S12" s="192">
        <f>Tableau4[[#This Row],[AF 1 ($)]]/(J12*D12)</f>
        <v>0.57355716453073158</v>
      </c>
      <c r="T12" s="192">
        <f>Tableau4[[#This Row],[Couverture 1 (%)]]*Tableau4[[#This Row],[Nombres appareils installés]]</f>
        <v>2.2942286581229263</v>
      </c>
      <c r="U12" s="189">
        <f>($U$4+($V$4*(Tableau4[[#This Row],[Capacité (BTU)]]/1000)))*Tableau4[[#This Row],[Nombres appareils installés]]</f>
        <v>9950</v>
      </c>
      <c r="V12" s="189">
        <f>Tableau4[[#This Row],[AF 2 ($)]]/Tableau4[[#This Row],[Nombres appareils installés]]</f>
        <v>2487.5</v>
      </c>
      <c r="W12" s="193">
        <f>Tableau4[[#This Row],[AF 2 par appareil ($)]]/Tableau4[[#This Row],[Surcoût par appareil ($)]]</f>
        <v>0.61364449323449233</v>
      </c>
      <c r="X12" s="193">
        <f>Tableau4[[#This Row],[Couverture 2 (%)]]*Tableau4[[#This Row],[Nombres appareils installés]]</f>
        <v>2.4545779729379693</v>
      </c>
      <c r="Y12" s="189">
        <f>($Y$4+$Z$4*(Tableau4[[#This Row],[Capacité (BTU)]]/1000))*Tableau4[[#This Row],[Nombres appareils installés]]</f>
        <v>11300</v>
      </c>
      <c r="Z12" s="189">
        <f>Tableau4[[#This Row],[AF 3 ($)]]/Tableau4[[#This Row],[Nombres appareils installés]]</f>
        <v>2825</v>
      </c>
      <c r="AA12" s="194">
        <f>Tableau4[[#This Row],[AF 3 par appareil ($)]]/Tableau4[[#This Row],[Surcoût par appareil ($)]]</f>
        <v>0.69690279131153399</v>
      </c>
      <c r="AB12" s="194">
        <f>Tableau4[[#This Row],[Couverture 3 (%)]]*Tableau4[[#This Row],[Nombres appareils installés]]</f>
        <v>2.7876111652461359</v>
      </c>
      <c r="AC12" s="189">
        <f>($AC$4+$AD$4*(Tableau4[[#This Row],[Capacité (BTU)]]/1000))*Tableau4[[#This Row],[Nombres appareils installés]]</f>
        <v>9840</v>
      </c>
      <c r="AD12" s="189">
        <f>Tableau4[[#This Row],[AF 4 ($)]]/Tableau4[[#This Row],[Nombres appareils installés]]</f>
        <v>2460</v>
      </c>
      <c r="AE12" s="195">
        <f>Tableau4[[#This Row],[Couverture 4 (%)]]*Tableau4[[#This Row],[Nombres appareils installés]]</f>
        <v>2.4274419350461929</v>
      </c>
      <c r="AF12" s="194">
        <f>Tableau4[[#This Row],[AF 4 par appareil  ($)]]/Tableau4[[#This Row],[Surcoût par appareil ($)]]</f>
        <v>0.60686048376154822</v>
      </c>
    </row>
    <row r="13" spans="2:32" x14ac:dyDescent="0.3">
      <c r="B13" s="188" t="s">
        <v>205</v>
      </c>
      <c r="C13" s="189" t="s">
        <v>213</v>
      </c>
      <c r="D13" s="189">
        <v>1</v>
      </c>
      <c r="E13" s="189">
        <v>85000</v>
      </c>
      <c r="F13" s="190">
        <f>Tableau4[[#This Row],[Economies totales (m3)]]/Tableau4[[#This Row],[Nombres appareils installés]]</f>
        <v>1068</v>
      </c>
      <c r="G13" s="191">
        <v>1068</v>
      </c>
      <c r="H13" s="189">
        <f t="shared" si="0"/>
        <v>1741.65</v>
      </c>
      <c r="I13" s="189">
        <v>2400</v>
      </c>
      <c r="J13" s="189">
        <f>Tableau4[[#This Row],[Surcoût moyens de l''équipement ($)]]+Tableau4[[#This Row],[Surcoût moyen de l''installation ($)]]</f>
        <v>4141.6499999999996</v>
      </c>
      <c r="K13" s="189">
        <f>Tableau4[[#This Row],[Surcoût par appareil ($)]]*Tableau4[[#This Row],[Nombres appareils installés]]</f>
        <v>4141.6499999999996</v>
      </c>
      <c r="L13" s="191">
        <v>1700</v>
      </c>
      <c r="M13" s="189">
        <f t="shared" si="1"/>
        <v>1325</v>
      </c>
      <c r="N13" s="189">
        <f>Tableau4[[#This Row],[AF 0 ($)]]/Tableau4[[#This Row],[Nombres appareils installés]]</f>
        <v>1325</v>
      </c>
      <c r="O13" s="192">
        <f>(Tableau4[[#This Row],[AF accordée ($)]])/($J$6*D13)</f>
        <v>0.42463905680171854</v>
      </c>
      <c r="P13" s="192">
        <f>Tableau4[[#This Row],[Couverture 0 (%)]]*Tableau4[[#This Row],[Nombres appareils installés]]</f>
        <v>0.42463905680171854</v>
      </c>
      <c r="Q13" s="189">
        <f>($Q$4+$R$4*(Tableau4[[#This Row],[Capacité (BTU)]]/1000))*Tableau4[[#This Row],[Nombres appareils installés]]</f>
        <v>2425</v>
      </c>
      <c r="R13" s="189">
        <f>Tableau4[[#This Row],[AF 1 ($)]]/Tableau4[[#This Row],[Nombres appareils installés]]</f>
        <v>2425</v>
      </c>
      <c r="S13" s="192">
        <f>Tableau4[[#This Row],[AF 1 ($)]]/(J13*D13)</f>
        <v>0.58551543466975731</v>
      </c>
      <c r="T13" s="192">
        <f>Tableau4[[#This Row],[Couverture 1 (%)]]*Tableau4[[#This Row],[Nombres appareils installés]]</f>
        <v>0.58551543466975731</v>
      </c>
      <c r="U13" s="189">
        <f>($U$4+($V$4*(Tableau4[[#This Row],[Capacité (BTU)]]/1000)))*Tableau4[[#This Row],[Nombres appareils installés]]</f>
        <v>2637.5</v>
      </c>
      <c r="V13" s="189">
        <f>Tableau4[[#This Row],[AF 2 ($)]]/Tableau4[[#This Row],[Nombres appareils installés]]</f>
        <v>2637.5</v>
      </c>
      <c r="W13" s="193">
        <f>Tableau4[[#This Row],[AF 2 par appareil ($)]]/Tableau4[[#This Row],[Surcoût par appareil ($)]]</f>
        <v>0.63682348822329271</v>
      </c>
      <c r="X13" s="193">
        <f>Tableau4[[#This Row],[Couverture 2 (%)]]*Tableau4[[#This Row],[Nombres appareils installés]]</f>
        <v>0.63682348822329271</v>
      </c>
      <c r="Y13" s="189">
        <f>($Y$4+$Z$4*(Tableau4[[#This Row],[Capacité (BTU)]]/1000))*Tableau4[[#This Row],[Nombres appareils installés]]</f>
        <v>2925</v>
      </c>
      <c r="Z13" s="189">
        <f>Tableau4[[#This Row],[AF 3 ($)]]/Tableau4[[#This Row],[Nombres appareils installés]]</f>
        <v>2925</v>
      </c>
      <c r="AA13" s="194">
        <f>Tableau4[[#This Row],[AF 3 par appareil ($)]]/Tableau4[[#This Row],[Surcoût par appareil ($)]]</f>
        <v>0.70624026656042893</v>
      </c>
      <c r="AB13" s="194">
        <f>Tableau4[[#This Row],[Couverture 3 (%)]]*Tableau4[[#This Row],[Nombres appareils installés]]</f>
        <v>0.70624026656042893</v>
      </c>
      <c r="AC13" s="189">
        <f>($AC$4+$AD$4*(Tableau4[[#This Row],[Capacité (BTU)]]/1000))*Tableau4[[#This Row],[Nombres appareils installés]]</f>
        <v>2540</v>
      </c>
      <c r="AD13" s="189">
        <f>Tableau4[[#This Row],[AF 4 ($)]]/Tableau4[[#This Row],[Nombres appareils installés]]</f>
        <v>2540</v>
      </c>
      <c r="AE13" s="195">
        <f>Tableau4[[#This Row],[Couverture 4 (%)]]*Tableau4[[#This Row],[Nombres appareils installés]]</f>
        <v>0.61328214600461173</v>
      </c>
      <c r="AF13" s="194">
        <f>Tableau4[[#This Row],[AF 4 par appareil  ($)]]/Tableau4[[#This Row],[Surcoût par appareil ($)]]</f>
        <v>0.61328214600461173</v>
      </c>
    </row>
    <row r="14" spans="2:32" x14ac:dyDescent="0.3">
      <c r="B14" s="188" t="s">
        <v>205</v>
      </c>
      <c r="C14" s="189" t="s">
        <v>214</v>
      </c>
      <c r="D14" s="189">
        <v>1</v>
      </c>
      <c r="E14" s="189">
        <v>85000</v>
      </c>
      <c r="F14" s="190">
        <f>Tableau4[[#This Row],[Economies totales (m3)]]/Tableau4[[#This Row],[Nombres appareils installés]]</f>
        <v>1068</v>
      </c>
      <c r="G14" s="191">
        <v>1068</v>
      </c>
      <c r="H14" s="189">
        <f t="shared" si="0"/>
        <v>1741.65</v>
      </c>
      <c r="I14" s="189">
        <v>2400</v>
      </c>
      <c r="J14" s="189">
        <f>Tableau4[[#This Row],[Surcoût moyens de l''équipement ($)]]+Tableau4[[#This Row],[Surcoût moyen de l''installation ($)]]</f>
        <v>4141.6499999999996</v>
      </c>
      <c r="K14" s="189">
        <f>Tableau4[[#This Row],[Surcoût par appareil ($)]]*Tableau4[[#This Row],[Nombres appareils installés]]</f>
        <v>4141.6499999999996</v>
      </c>
      <c r="L14" s="191">
        <v>1700</v>
      </c>
      <c r="M14" s="189">
        <f t="shared" si="1"/>
        <v>1325</v>
      </c>
      <c r="N14" s="189">
        <f>Tableau4[[#This Row],[AF 0 ($)]]/Tableau4[[#This Row],[Nombres appareils installés]]</f>
        <v>1325</v>
      </c>
      <c r="O14" s="192">
        <f>(Tableau4[[#This Row],[AF accordée ($)]])/($J$6*D14)</f>
        <v>0.42463905680171854</v>
      </c>
      <c r="P14" s="192">
        <f>Tableau4[[#This Row],[Couverture 0 (%)]]*Tableau4[[#This Row],[Nombres appareils installés]]</f>
        <v>0.42463905680171854</v>
      </c>
      <c r="Q14" s="189">
        <f>($Q$4+$R$4*(Tableau4[[#This Row],[Capacité (BTU)]]/1000))*Tableau4[[#This Row],[Nombres appareils installés]]</f>
        <v>2425</v>
      </c>
      <c r="R14" s="189">
        <f>Tableau4[[#This Row],[AF 1 ($)]]/Tableau4[[#This Row],[Nombres appareils installés]]</f>
        <v>2425</v>
      </c>
      <c r="S14" s="192">
        <f>Tableau4[[#This Row],[AF 1 ($)]]/(J14*D14)</f>
        <v>0.58551543466975731</v>
      </c>
      <c r="T14" s="192">
        <f>Tableau4[[#This Row],[Couverture 1 (%)]]*Tableau4[[#This Row],[Nombres appareils installés]]</f>
        <v>0.58551543466975731</v>
      </c>
      <c r="U14" s="189">
        <f>($U$4+($V$4*(Tableau4[[#This Row],[Capacité (BTU)]]/1000)))*Tableau4[[#This Row],[Nombres appareils installés]]</f>
        <v>2637.5</v>
      </c>
      <c r="V14" s="189">
        <f>Tableau4[[#This Row],[AF 2 ($)]]/Tableau4[[#This Row],[Nombres appareils installés]]</f>
        <v>2637.5</v>
      </c>
      <c r="W14" s="193">
        <f>Tableau4[[#This Row],[AF 2 par appareil ($)]]/Tableau4[[#This Row],[Surcoût par appareil ($)]]</f>
        <v>0.63682348822329271</v>
      </c>
      <c r="X14" s="193">
        <f>Tableau4[[#This Row],[Couverture 2 (%)]]*Tableau4[[#This Row],[Nombres appareils installés]]</f>
        <v>0.63682348822329271</v>
      </c>
      <c r="Y14" s="189">
        <f>($Y$4+$Z$4*(Tableau4[[#This Row],[Capacité (BTU)]]/1000))*Tableau4[[#This Row],[Nombres appareils installés]]</f>
        <v>2925</v>
      </c>
      <c r="Z14" s="189">
        <f>Tableau4[[#This Row],[AF 3 ($)]]/Tableau4[[#This Row],[Nombres appareils installés]]</f>
        <v>2925</v>
      </c>
      <c r="AA14" s="194">
        <f>Tableau4[[#This Row],[AF 3 par appareil ($)]]/Tableau4[[#This Row],[Surcoût par appareil ($)]]</f>
        <v>0.70624026656042893</v>
      </c>
      <c r="AB14" s="194">
        <f>Tableau4[[#This Row],[Couverture 3 (%)]]*Tableau4[[#This Row],[Nombres appareils installés]]</f>
        <v>0.70624026656042893</v>
      </c>
      <c r="AC14" s="189">
        <f>($AC$4+$AD$4*(Tableau4[[#This Row],[Capacité (BTU)]]/1000))*Tableau4[[#This Row],[Nombres appareils installés]]</f>
        <v>2540</v>
      </c>
      <c r="AD14" s="189">
        <f>Tableau4[[#This Row],[AF 4 ($)]]/Tableau4[[#This Row],[Nombres appareils installés]]</f>
        <v>2540</v>
      </c>
      <c r="AE14" s="195">
        <f>Tableau4[[#This Row],[Couverture 4 (%)]]*Tableau4[[#This Row],[Nombres appareils installés]]</f>
        <v>0.61328214600461173</v>
      </c>
      <c r="AF14" s="194">
        <f>Tableau4[[#This Row],[AF 4 par appareil  ($)]]/Tableau4[[#This Row],[Surcoût par appareil ($)]]</f>
        <v>0.61328214600461173</v>
      </c>
    </row>
    <row r="15" spans="2:32" x14ac:dyDescent="0.3">
      <c r="B15" s="188" t="s">
        <v>205</v>
      </c>
      <c r="C15" s="189" t="s">
        <v>209</v>
      </c>
      <c r="D15" s="189">
        <v>1</v>
      </c>
      <c r="E15" s="189">
        <v>110000</v>
      </c>
      <c r="F15" s="190">
        <f>Tableau4[[#This Row],[Economies totales (m3)]]/Tableau4[[#This Row],[Nombres appareils installés]]</f>
        <v>1068</v>
      </c>
      <c r="G15" s="191">
        <v>1068</v>
      </c>
      <c r="H15" s="189">
        <f t="shared" si="0"/>
        <v>1885.4</v>
      </c>
      <c r="I15" s="189">
        <v>2400</v>
      </c>
      <c r="J15" s="189">
        <f>Tableau4[[#This Row],[Surcoût moyens de l''équipement ($)]]+Tableau4[[#This Row],[Surcoût moyen de l''installation ($)]]</f>
        <v>4285.3999999999996</v>
      </c>
      <c r="K15" s="189">
        <f>Tableau4[[#This Row],[Surcoût par appareil ($)]]*Tableau4[[#This Row],[Nombres appareils installés]]</f>
        <v>4285.3999999999996</v>
      </c>
      <c r="L15" s="191">
        <v>1700</v>
      </c>
      <c r="M15" s="189">
        <f t="shared" si="1"/>
        <v>1450</v>
      </c>
      <c r="N15" s="189">
        <f>Tableau4[[#This Row],[AF 0 ($)]]/Tableau4[[#This Row],[Nombres appareils installés]]</f>
        <v>1450</v>
      </c>
      <c r="O15" s="192">
        <f>(Tableau4[[#This Row],[AF accordée ($)]])/($J$6*D15)</f>
        <v>0.42463905680171854</v>
      </c>
      <c r="P15" s="192">
        <f>Tableau4[[#This Row],[Couverture 0 (%)]]*Tableau4[[#This Row],[Nombres appareils installés]]</f>
        <v>0.42463905680171854</v>
      </c>
      <c r="Q15" s="189">
        <f>($Q$4+$R$4*(Tableau4[[#This Row],[Capacité (BTU)]]/1000))*Tableau4[[#This Row],[Nombres appareils installés]]</f>
        <v>2550</v>
      </c>
      <c r="R15" s="189">
        <f>Tableau4[[#This Row],[AF 1 ($)]]/Tableau4[[#This Row],[Nombres appareils installés]]</f>
        <v>2550</v>
      </c>
      <c r="S15" s="192">
        <f>Tableau4[[#This Row],[AF 1 ($)]]/(J15*D15)</f>
        <v>0.5950436365333458</v>
      </c>
      <c r="T15" s="192">
        <f>Tableau4[[#This Row],[Couverture 1 (%)]]*Tableau4[[#This Row],[Nombres appareils installés]]</f>
        <v>0.5950436365333458</v>
      </c>
      <c r="U15" s="189">
        <f>($U$4+($V$4*(Tableau4[[#This Row],[Capacité (BTU)]]/1000)))*Tableau4[[#This Row],[Nombres appareils installés]]</f>
        <v>2825</v>
      </c>
      <c r="V15" s="189">
        <f>Tableau4[[#This Row],[AF 2 ($)]]/Tableau4[[#This Row],[Nombres appareils installés]]</f>
        <v>2825</v>
      </c>
      <c r="W15" s="193">
        <f>Tableau4[[#This Row],[AF 2 par appareil ($)]]/Tableau4[[#This Row],[Surcoût par appareil ($)]]</f>
        <v>0.65921500910066744</v>
      </c>
      <c r="X15" s="193">
        <f>Tableau4[[#This Row],[Couverture 2 (%)]]*Tableau4[[#This Row],[Nombres appareils installés]]</f>
        <v>0.65921500910066744</v>
      </c>
      <c r="Y15" s="189">
        <f>($Y$4+$Z$4*(Tableau4[[#This Row],[Capacité (BTU)]]/1000))*Tableau4[[#This Row],[Nombres appareils installés]]</f>
        <v>3050</v>
      </c>
      <c r="Z15" s="189">
        <f>Tableau4[[#This Row],[AF 3 ($)]]/Tableau4[[#This Row],[Nombres appareils installés]]</f>
        <v>3050</v>
      </c>
      <c r="AA15" s="194">
        <f>Tableau4[[#This Row],[AF 3 par appareil ($)]]/Tableau4[[#This Row],[Surcoût par appareil ($)]]</f>
        <v>0.71171885938302148</v>
      </c>
      <c r="AB15" s="194">
        <f>Tableau4[[#This Row],[Couverture 3 (%)]]*Tableau4[[#This Row],[Nombres appareils installés]]</f>
        <v>0.71171885938302148</v>
      </c>
      <c r="AC15" s="189">
        <f>($AC$4+$AD$4*(Tableau4[[#This Row],[Capacité (BTU)]]/1000))*Tableau4[[#This Row],[Nombres appareils installés]]</f>
        <v>2640</v>
      </c>
      <c r="AD15" s="189">
        <f>Tableau4[[#This Row],[AF 4 ($)]]/Tableau4[[#This Row],[Nombres appareils installés]]</f>
        <v>2640</v>
      </c>
      <c r="AE15" s="195">
        <f>Tableau4[[#This Row],[Couverture 4 (%)]]*Tableau4[[#This Row],[Nombres appareils installés]]</f>
        <v>0.61604517664628744</v>
      </c>
      <c r="AF15" s="194">
        <f>Tableau4[[#This Row],[AF 4 par appareil  ($)]]/Tableau4[[#This Row],[Surcoût par appareil ($)]]</f>
        <v>0.61604517664628744</v>
      </c>
    </row>
    <row r="16" spans="2:32" x14ac:dyDescent="0.3">
      <c r="B16" s="188" t="s">
        <v>205</v>
      </c>
      <c r="C16" s="189" t="s">
        <v>215</v>
      </c>
      <c r="D16" s="189">
        <v>1</v>
      </c>
      <c r="E16" s="189">
        <v>110000</v>
      </c>
      <c r="F16" s="190">
        <f>Tableau4[[#This Row],[Economies totales (m3)]]/Tableau4[[#This Row],[Nombres appareils installés]]</f>
        <v>1068</v>
      </c>
      <c r="G16" s="191">
        <v>1068</v>
      </c>
      <c r="H16" s="189">
        <f t="shared" si="0"/>
        <v>1885.4</v>
      </c>
      <c r="I16" s="189">
        <v>2400</v>
      </c>
      <c r="J16" s="189">
        <f>Tableau4[[#This Row],[Surcoût moyens de l''équipement ($)]]+Tableau4[[#This Row],[Surcoût moyen de l''installation ($)]]</f>
        <v>4285.3999999999996</v>
      </c>
      <c r="K16" s="189">
        <f>Tableau4[[#This Row],[Surcoût par appareil ($)]]*Tableau4[[#This Row],[Nombres appareils installés]]</f>
        <v>4285.3999999999996</v>
      </c>
      <c r="L16" s="191">
        <v>1700</v>
      </c>
      <c r="M16" s="189">
        <f t="shared" si="1"/>
        <v>1450</v>
      </c>
      <c r="N16" s="189">
        <f>Tableau4[[#This Row],[AF 0 ($)]]/Tableau4[[#This Row],[Nombres appareils installés]]</f>
        <v>1450</v>
      </c>
      <c r="O16" s="192">
        <f>(Tableau4[[#This Row],[AF accordée ($)]])/($J$6*D16)</f>
        <v>0.42463905680171854</v>
      </c>
      <c r="P16" s="192">
        <f>Tableau4[[#This Row],[Couverture 0 (%)]]*Tableau4[[#This Row],[Nombres appareils installés]]</f>
        <v>0.42463905680171854</v>
      </c>
      <c r="Q16" s="189">
        <f>($Q$4+$R$4*(Tableau4[[#This Row],[Capacité (BTU)]]/1000))*Tableau4[[#This Row],[Nombres appareils installés]]</f>
        <v>2550</v>
      </c>
      <c r="R16" s="189">
        <f>Tableau4[[#This Row],[AF 1 ($)]]/Tableau4[[#This Row],[Nombres appareils installés]]</f>
        <v>2550</v>
      </c>
      <c r="S16" s="192">
        <f>Tableau4[[#This Row],[AF 1 ($)]]/(J16*D16)</f>
        <v>0.5950436365333458</v>
      </c>
      <c r="T16" s="192">
        <f>Tableau4[[#This Row],[Couverture 1 (%)]]*Tableau4[[#This Row],[Nombres appareils installés]]</f>
        <v>0.5950436365333458</v>
      </c>
      <c r="U16" s="189">
        <f>($U$4+($V$4*(Tableau4[[#This Row],[Capacité (BTU)]]/1000)))*Tableau4[[#This Row],[Nombres appareils installés]]</f>
        <v>2825</v>
      </c>
      <c r="V16" s="189">
        <f>Tableau4[[#This Row],[AF 2 ($)]]/Tableau4[[#This Row],[Nombres appareils installés]]</f>
        <v>2825</v>
      </c>
      <c r="W16" s="193">
        <f>Tableau4[[#This Row],[AF 2 par appareil ($)]]/Tableau4[[#This Row],[Surcoût par appareil ($)]]</f>
        <v>0.65921500910066744</v>
      </c>
      <c r="X16" s="193">
        <f>Tableau4[[#This Row],[Couverture 2 (%)]]*Tableau4[[#This Row],[Nombres appareils installés]]</f>
        <v>0.65921500910066744</v>
      </c>
      <c r="Y16" s="189">
        <f>($Y$4+$Z$4*(Tableau4[[#This Row],[Capacité (BTU)]]/1000))*Tableau4[[#This Row],[Nombres appareils installés]]</f>
        <v>3050</v>
      </c>
      <c r="Z16" s="189">
        <f>Tableau4[[#This Row],[AF 3 ($)]]/Tableau4[[#This Row],[Nombres appareils installés]]</f>
        <v>3050</v>
      </c>
      <c r="AA16" s="194">
        <f>Tableau4[[#This Row],[AF 3 par appareil ($)]]/Tableau4[[#This Row],[Surcoût par appareil ($)]]</f>
        <v>0.71171885938302148</v>
      </c>
      <c r="AB16" s="194">
        <f>Tableau4[[#This Row],[Couverture 3 (%)]]*Tableau4[[#This Row],[Nombres appareils installés]]</f>
        <v>0.71171885938302148</v>
      </c>
      <c r="AC16" s="189">
        <f>($AC$4+$AD$4*(Tableau4[[#This Row],[Capacité (BTU)]]/1000))*Tableau4[[#This Row],[Nombres appareils installés]]</f>
        <v>2640</v>
      </c>
      <c r="AD16" s="189">
        <f>Tableau4[[#This Row],[AF 4 ($)]]/Tableau4[[#This Row],[Nombres appareils installés]]</f>
        <v>2640</v>
      </c>
      <c r="AE16" s="195">
        <f>Tableau4[[#This Row],[Couverture 4 (%)]]*Tableau4[[#This Row],[Nombres appareils installés]]</f>
        <v>0.61604517664628744</v>
      </c>
      <c r="AF16" s="194">
        <f>Tableau4[[#This Row],[AF 4 par appareil  ($)]]/Tableau4[[#This Row],[Surcoût par appareil ($)]]</f>
        <v>0.61604517664628744</v>
      </c>
    </row>
    <row r="17" spans="2:32" x14ac:dyDescent="0.3">
      <c r="B17" s="188" t="s">
        <v>205</v>
      </c>
      <c r="C17" s="189" t="s">
        <v>216</v>
      </c>
      <c r="D17" s="189">
        <v>1</v>
      </c>
      <c r="E17" s="189">
        <v>110000</v>
      </c>
      <c r="F17" s="190">
        <f>Tableau4[[#This Row],[Economies totales (m3)]]/Tableau4[[#This Row],[Nombres appareils installés]]</f>
        <v>1068</v>
      </c>
      <c r="G17" s="191">
        <v>1068</v>
      </c>
      <c r="H17" s="189">
        <f t="shared" si="0"/>
        <v>1885.4</v>
      </c>
      <c r="I17" s="189">
        <v>2400</v>
      </c>
      <c r="J17" s="189">
        <f>Tableau4[[#This Row],[Surcoût moyens de l''équipement ($)]]+Tableau4[[#This Row],[Surcoût moyen de l''installation ($)]]</f>
        <v>4285.3999999999996</v>
      </c>
      <c r="K17" s="189">
        <f>Tableau4[[#This Row],[Surcoût par appareil ($)]]*Tableau4[[#This Row],[Nombres appareils installés]]</f>
        <v>4285.3999999999996</v>
      </c>
      <c r="L17" s="191">
        <v>1700</v>
      </c>
      <c r="M17" s="189">
        <f t="shared" si="1"/>
        <v>1450</v>
      </c>
      <c r="N17" s="189">
        <f>Tableau4[[#This Row],[AF 0 ($)]]/Tableau4[[#This Row],[Nombres appareils installés]]</f>
        <v>1450</v>
      </c>
      <c r="O17" s="192">
        <f>(Tableau4[[#This Row],[AF accordée ($)]])/($J$6*D17)</f>
        <v>0.42463905680171854</v>
      </c>
      <c r="P17" s="192">
        <f>Tableau4[[#This Row],[Couverture 0 (%)]]*Tableau4[[#This Row],[Nombres appareils installés]]</f>
        <v>0.42463905680171854</v>
      </c>
      <c r="Q17" s="189">
        <f>($Q$4+$R$4*(Tableau4[[#This Row],[Capacité (BTU)]]/1000))*Tableau4[[#This Row],[Nombres appareils installés]]</f>
        <v>2550</v>
      </c>
      <c r="R17" s="189">
        <f>Tableau4[[#This Row],[AF 1 ($)]]/Tableau4[[#This Row],[Nombres appareils installés]]</f>
        <v>2550</v>
      </c>
      <c r="S17" s="192">
        <f>Tableau4[[#This Row],[AF 1 ($)]]/(J17*D17)</f>
        <v>0.5950436365333458</v>
      </c>
      <c r="T17" s="192">
        <f>Tableau4[[#This Row],[Couverture 1 (%)]]*Tableau4[[#This Row],[Nombres appareils installés]]</f>
        <v>0.5950436365333458</v>
      </c>
      <c r="U17" s="189">
        <f>($U$4+($V$4*(Tableau4[[#This Row],[Capacité (BTU)]]/1000)))*Tableau4[[#This Row],[Nombres appareils installés]]</f>
        <v>2825</v>
      </c>
      <c r="V17" s="189">
        <f>Tableau4[[#This Row],[AF 2 ($)]]/Tableau4[[#This Row],[Nombres appareils installés]]</f>
        <v>2825</v>
      </c>
      <c r="W17" s="193">
        <f>Tableau4[[#This Row],[AF 2 par appareil ($)]]/Tableau4[[#This Row],[Surcoût par appareil ($)]]</f>
        <v>0.65921500910066744</v>
      </c>
      <c r="X17" s="193">
        <f>Tableau4[[#This Row],[Couverture 2 (%)]]*Tableau4[[#This Row],[Nombres appareils installés]]</f>
        <v>0.65921500910066744</v>
      </c>
      <c r="Y17" s="189">
        <f>($Y$4+$Z$4*(Tableau4[[#This Row],[Capacité (BTU)]]/1000))*Tableau4[[#This Row],[Nombres appareils installés]]</f>
        <v>3050</v>
      </c>
      <c r="Z17" s="189">
        <f>Tableau4[[#This Row],[AF 3 ($)]]/Tableau4[[#This Row],[Nombres appareils installés]]</f>
        <v>3050</v>
      </c>
      <c r="AA17" s="194">
        <f>Tableau4[[#This Row],[AF 3 par appareil ($)]]/Tableau4[[#This Row],[Surcoût par appareil ($)]]</f>
        <v>0.71171885938302148</v>
      </c>
      <c r="AB17" s="194">
        <f>Tableau4[[#This Row],[Couverture 3 (%)]]*Tableau4[[#This Row],[Nombres appareils installés]]</f>
        <v>0.71171885938302148</v>
      </c>
      <c r="AC17" s="189">
        <f>($AC$4+$AD$4*(Tableau4[[#This Row],[Capacité (BTU)]]/1000))*Tableau4[[#This Row],[Nombres appareils installés]]</f>
        <v>2640</v>
      </c>
      <c r="AD17" s="189">
        <f>Tableau4[[#This Row],[AF 4 ($)]]/Tableau4[[#This Row],[Nombres appareils installés]]</f>
        <v>2640</v>
      </c>
      <c r="AE17" s="195">
        <f>Tableau4[[#This Row],[Couverture 4 (%)]]*Tableau4[[#This Row],[Nombres appareils installés]]</f>
        <v>0.61604517664628744</v>
      </c>
      <c r="AF17" s="194">
        <f>Tableau4[[#This Row],[AF 4 par appareil  ($)]]/Tableau4[[#This Row],[Surcoût par appareil ($)]]</f>
        <v>0.61604517664628744</v>
      </c>
    </row>
    <row r="18" spans="2:32" x14ac:dyDescent="0.3">
      <c r="B18" s="188" t="s">
        <v>205</v>
      </c>
      <c r="C18" s="189" t="s">
        <v>216</v>
      </c>
      <c r="D18" s="189">
        <v>1</v>
      </c>
      <c r="E18" s="189">
        <v>110000</v>
      </c>
      <c r="F18" s="190">
        <f>Tableau4[[#This Row],[Economies totales (m3)]]/Tableau4[[#This Row],[Nombres appareils installés]]</f>
        <v>1068</v>
      </c>
      <c r="G18" s="191">
        <v>1068</v>
      </c>
      <c r="H18" s="189">
        <f t="shared" si="0"/>
        <v>1885.4</v>
      </c>
      <c r="I18" s="189">
        <v>2400</v>
      </c>
      <c r="J18" s="189">
        <f>Tableau4[[#This Row],[Surcoût moyens de l''équipement ($)]]+Tableau4[[#This Row],[Surcoût moyen de l''installation ($)]]</f>
        <v>4285.3999999999996</v>
      </c>
      <c r="K18" s="189">
        <f>Tableau4[[#This Row],[Surcoût par appareil ($)]]*Tableau4[[#This Row],[Nombres appareils installés]]</f>
        <v>4285.3999999999996</v>
      </c>
      <c r="L18" s="191">
        <v>1700</v>
      </c>
      <c r="M18" s="189">
        <f t="shared" si="1"/>
        <v>1450</v>
      </c>
      <c r="N18" s="189">
        <f>Tableau4[[#This Row],[AF 0 ($)]]/Tableau4[[#This Row],[Nombres appareils installés]]</f>
        <v>1450</v>
      </c>
      <c r="O18" s="192">
        <f>(Tableau4[[#This Row],[AF accordée ($)]])/($J$6*D18)</f>
        <v>0.42463905680171854</v>
      </c>
      <c r="P18" s="192">
        <f>Tableau4[[#This Row],[Couverture 0 (%)]]*Tableau4[[#This Row],[Nombres appareils installés]]</f>
        <v>0.42463905680171854</v>
      </c>
      <c r="Q18" s="189">
        <f>($Q$4+$R$4*(Tableau4[[#This Row],[Capacité (BTU)]]/1000))*Tableau4[[#This Row],[Nombres appareils installés]]</f>
        <v>2550</v>
      </c>
      <c r="R18" s="189">
        <f>Tableau4[[#This Row],[AF 1 ($)]]/Tableau4[[#This Row],[Nombres appareils installés]]</f>
        <v>2550</v>
      </c>
      <c r="S18" s="192">
        <f>Tableau4[[#This Row],[AF 1 ($)]]/(J18*D18)</f>
        <v>0.5950436365333458</v>
      </c>
      <c r="T18" s="192">
        <f>Tableau4[[#This Row],[Couverture 1 (%)]]*Tableau4[[#This Row],[Nombres appareils installés]]</f>
        <v>0.5950436365333458</v>
      </c>
      <c r="U18" s="189">
        <f>($U$4+($V$4*(Tableau4[[#This Row],[Capacité (BTU)]]/1000)))*Tableau4[[#This Row],[Nombres appareils installés]]</f>
        <v>2825</v>
      </c>
      <c r="V18" s="189">
        <f>Tableau4[[#This Row],[AF 2 ($)]]/Tableau4[[#This Row],[Nombres appareils installés]]</f>
        <v>2825</v>
      </c>
      <c r="W18" s="193">
        <f>Tableau4[[#This Row],[AF 2 par appareil ($)]]/Tableau4[[#This Row],[Surcoût par appareil ($)]]</f>
        <v>0.65921500910066744</v>
      </c>
      <c r="X18" s="193">
        <f>Tableau4[[#This Row],[Couverture 2 (%)]]*Tableau4[[#This Row],[Nombres appareils installés]]</f>
        <v>0.65921500910066744</v>
      </c>
      <c r="Y18" s="189">
        <f>($Y$4+$Z$4*(Tableau4[[#This Row],[Capacité (BTU)]]/1000))*Tableau4[[#This Row],[Nombres appareils installés]]</f>
        <v>3050</v>
      </c>
      <c r="Z18" s="189">
        <f>Tableau4[[#This Row],[AF 3 ($)]]/Tableau4[[#This Row],[Nombres appareils installés]]</f>
        <v>3050</v>
      </c>
      <c r="AA18" s="194">
        <f>Tableau4[[#This Row],[AF 3 par appareil ($)]]/Tableau4[[#This Row],[Surcoût par appareil ($)]]</f>
        <v>0.71171885938302148</v>
      </c>
      <c r="AB18" s="194">
        <f>Tableau4[[#This Row],[Couverture 3 (%)]]*Tableau4[[#This Row],[Nombres appareils installés]]</f>
        <v>0.71171885938302148</v>
      </c>
      <c r="AC18" s="189">
        <f>($AC$4+$AD$4*(Tableau4[[#This Row],[Capacité (BTU)]]/1000))*Tableau4[[#This Row],[Nombres appareils installés]]</f>
        <v>2640</v>
      </c>
      <c r="AD18" s="189">
        <f>Tableau4[[#This Row],[AF 4 ($)]]/Tableau4[[#This Row],[Nombres appareils installés]]</f>
        <v>2640</v>
      </c>
      <c r="AE18" s="195">
        <f>Tableau4[[#This Row],[Couverture 4 (%)]]*Tableau4[[#This Row],[Nombres appareils installés]]</f>
        <v>0.61604517664628744</v>
      </c>
      <c r="AF18" s="194">
        <f>Tableau4[[#This Row],[AF 4 par appareil  ($)]]/Tableau4[[#This Row],[Surcoût par appareil ($)]]</f>
        <v>0.61604517664628744</v>
      </c>
    </row>
    <row r="19" spans="2:32" x14ac:dyDescent="0.3">
      <c r="B19" s="188" t="s">
        <v>205</v>
      </c>
      <c r="C19" s="189" t="s">
        <v>217</v>
      </c>
      <c r="D19" s="189">
        <v>1</v>
      </c>
      <c r="E19" s="189">
        <v>130000</v>
      </c>
      <c r="F19" s="190">
        <f>Tableau4[[#This Row],[Economies totales (m3)]]/Tableau4[[#This Row],[Nombres appareils installés]]</f>
        <v>1068</v>
      </c>
      <c r="G19" s="191">
        <v>1068</v>
      </c>
      <c r="H19" s="189">
        <f t="shared" si="0"/>
        <v>2027.4</v>
      </c>
      <c r="I19" s="189">
        <v>2400</v>
      </c>
      <c r="J19" s="189">
        <f>Tableau4[[#This Row],[Surcoût moyens de l''équipement ($)]]+Tableau4[[#This Row],[Surcoût moyen de l''installation ($)]]</f>
        <v>4427.3999999999996</v>
      </c>
      <c r="K19" s="189">
        <f>Tableau4[[#This Row],[Surcoût par appareil ($)]]*Tableau4[[#This Row],[Nombres appareils installés]]</f>
        <v>4427.3999999999996</v>
      </c>
      <c r="L19" s="191">
        <v>1700</v>
      </c>
      <c r="M19" s="189">
        <f t="shared" si="1"/>
        <v>1550</v>
      </c>
      <c r="N19" s="189">
        <f>Tableau4[[#This Row],[AF 0 ($)]]/Tableau4[[#This Row],[Nombres appareils installés]]</f>
        <v>1550</v>
      </c>
      <c r="O19" s="192">
        <f>(Tableau4[[#This Row],[AF accordée ($)]])/($J$6*D19)</f>
        <v>0.42463905680171854</v>
      </c>
      <c r="P19" s="192">
        <f>Tableau4[[#This Row],[Couverture 0 (%)]]*Tableau4[[#This Row],[Nombres appareils installés]]</f>
        <v>0.42463905680171854</v>
      </c>
      <c r="Q19" s="189">
        <f>($Q$4+$R$4*(Tableau4[[#This Row],[Capacité (BTU)]]/1000))*Tableau4[[#This Row],[Nombres appareils installés]]</f>
        <v>2650</v>
      </c>
      <c r="R19" s="189">
        <f>Tableau4[[#This Row],[AF 1 ($)]]/Tableau4[[#This Row],[Nombres appareils installés]]</f>
        <v>2650</v>
      </c>
      <c r="S19" s="192">
        <f>Tableau4[[#This Row],[AF 1 ($)]]/(J19*D19)</f>
        <v>0.59854542169218961</v>
      </c>
      <c r="T19" s="192">
        <f>Tableau4[[#This Row],[Couverture 1 (%)]]*Tableau4[[#This Row],[Nombres appareils installés]]</f>
        <v>0.59854542169218961</v>
      </c>
      <c r="U19" s="189">
        <f>($U$4+($V$4*(Tableau4[[#This Row],[Capacité (BTU)]]/1000)))*Tableau4[[#This Row],[Nombres appareils installés]]</f>
        <v>2975</v>
      </c>
      <c r="V19" s="189">
        <f>Tableau4[[#This Row],[AF 2 ($)]]/Tableau4[[#This Row],[Nombres appareils installés]]</f>
        <v>2975</v>
      </c>
      <c r="W19" s="193">
        <f>Tableau4[[#This Row],[AF 2 par appareil ($)]]/Tableau4[[#This Row],[Surcoût par appareil ($)]]</f>
        <v>0.67195193567330724</v>
      </c>
      <c r="X19" s="193">
        <f>Tableau4[[#This Row],[Couverture 2 (%)]]*Tableau4[[#This Row],[Nombres appareils installés]]</f>
        <v>0.67195193567330724</v>
      </c>
      <c r="Y19" s="189">
        <f>($Y$4+$Z$4*(Tableau4[[#This Row],[Capacité (BTU)]]/1000))*Tableau4[[#This Row],[Nombres appareils installés]]</f>
        <v>3150</v>
      </c>
      <c r="Z19" s="189">
        <f>Tableau4[[#This Row],[AF 3 ($)]]/Tableau4[[#This Row],[Nombres appareils installés]]</f>
        <v>3150</v>
      </c>
      <c r="AA19" s="194">
        <f>Tableau4[[#This Row],[AF 3 par appareil ($)]]/Tableau4[[#This Row],[Surcoût par appareil ($)]]</f>
        <v>0.71147852012467816</v>
      </c>
      <c r="AB19" s="194">
        <f>Tableau4[[#This Row],[Couverture 3 (%)]]*Tableau4[[#This Row],[Nombres appareils installés]]</f>
        <v>0.71147852012467816</v>
      </c>
      <c r="AC19" s="189">
        <f>($AC$4+$AD$4*(Tableau4[[#This Row],[Capacité (BTU)]]/1000))*Tableau4[[#This Row],[Nombres appareils installés]]</f>
        <v>2720</v>
      </c>
      <c r="AD19" s="189">
        <f>Tableau4[[#This Row],[AF 4 ($)]]/Tableau4[[#This Row],[Nombres appareils installés]]</f>
        <v>2720</v>
      </c>
      <c r="AE19" s="195">
        <f>Tableau4[[#This Row],[Couverture 4 (%)]]*Tableau4[[#This Row],[Nombres appareils installés]]</f>
        <v>0.61435605547273797</v>
      </c>
      <c r="AF19" s="194">
        <f>Tableau4[[#This Row],[AF 4 par appareil  ($)]]/Tableau4[[#This Row],[Surcoût par appareil ($)]]</f>
        <v>0.61435605547273797</v>
      </c>
    </row>
    <row r="20" spans="2:32" x14ac:dyDescent="0.3">
      <c r="B20" s="188" t="s">
        <v>205</v>
      </c>
      <c r="C20" s="189" t="s">
        <v>216</v>
      </c>
      <c r="D20" s="189">
        <v>2</v>
      </c>
      <c r="E20" s="189">
        <v>130000</v>
      </c>
      <c r="F20" s="190">
        <f>Tableau4[[#This Row],[Economies totales (m3)]]/Tableau4[[#This Row],[Nombres appareils installés]]</f>
        <v>1068</v>
      </c>
      <c r="G20" s="191">
        <v>2136</v>
      </c>
      <c r="H20" s="189">
        <f t="shared" si="0"/>
        <v>2027.4</v>
      </c>
      <c r="I20" s="189">
        <v>2400</v>
      </c>
      <c r="J20" s="189">
        <f>Tableau4[[#This Row],[Surcoût moyens de l''équipement ($)]]+Tableau4[[#This Row],[Surcoût moyen de l''installation ($)]]</f>
        <v>4427.3999999999996</v>
      </c>
      <c r="K20" s="189">
        <f>Tableau4[[#This Row],[Surcoût par appareil ($)]]*Tableau4[[#This Row],[Nombres appareils installés]]</f>
        <v>8854.7999999999993</v>
      </c>
      <c r="L20" s="191">
        <v>3400</v>
      </c>
      <c r="M20" s="189">
        <f t="shared" si="1"/>
        <v>3100</v>
      </c>
      <c r="N20" s="189">
        <f>Tableau4[[#This Row],[AF 0 ($)]]/Tableau4[[#This Row],[Nombres appareils installés]]</f>
        <v>1550</v>
      </c>
      <c r="O20" s="192">
        <f>(Tableau4[[#This Row],[AF accordée ($)]])/($J$6*D20)</f>
        <v>0.42463905680171854</v>
      </c>
      <c r="P20" s="192">
        <f>Tableau4[[#This Row],[Couverture 0 (%)]]*Tableau4[[#This Row],[Nombres appareils installés]]</f>
        <v>0.84927811360343708</v>
      </c>
      <c r="Q20" s="189">
        <f>($Q$4+$R$4*(Tableau4[[#This Row],[Capacité (BTU)]]/1000))*Tableau4[[#This Row],[Nombres appareils installés]]</f>
        <v>5300</v>
      </c>
      <c r="R20" s="189">
        <f>Tableau4[[#This Row],[AF 1 ($)]]/Tableau4[[#This Row],[Nombres appareils installés]]</f>
        <v>2650</v>
      </c>
      <c r="S20" s="192">
        <f>Tableau4[[#This Row],[AF 1 ($)]]/(J20*D20)</f>
        <v>0.59854542169218961</v>
      </c>
      <c r="T20" s="192">
        <f>Tableau4[[#This Row],[Couverture 1 (%)]]*Tableau4[[#This Row],[Nombres appareils installés]]</f>
        <v>1.1970908433843792</v>
      </c>
      <c r="U20" s="189">
        <f>($U$4+($V$4*(Tableau4[[#This Row],[Capacité (BTU)]]/1000)))*Tableau4[[#This Row],[Nombres appareils installés]]</f>
        <v>5950</v>
      </c>
      <c r="V20" s="189">
        <f>Tableau4[[#This Row],[AF 2 ($)]]/Tableau4[[#This Row],[Nombres appareils installés]]</f>
        <v>2975</v>
      </c>
      <c r="W20" s="193">
        <f>Tableau4[[#This Row],[AF 2 par appareil ($)]]/Tableau4[[#This Row],[Surcoût par appareil ($)]]</f>
        <v>0.67195193567330724</v>
      </c>
      <c r="X20" s="193">
        <f>Tableau4[[#This Row],[Couverture 2 (%)]]*Tableau4[[#This Row],[Nombres appareils installés]]</f>
        <v>1.3439038713466145</v>
      </c>
      <c r="Y20" s="189">
        <f>($Y$4+$Z$4*(Tableau4[[#This Row],[Capacité (BTU)]]/1000))*Tableau4[[#This Row],[Nombres appareils installés]]</f>
        <v>6300</v>
      </c>
      <c r="Z20" s="189">
        <f>Tableau4[[#This Row],[AF 3 ($)]]/Tableau4[[#This Row],[Nombres appareils installés]]</f>
        <v>3150</v>
      </c>
      <c r="AA20" s="194">
        <f>Tableau4[[#This Row],[AF 3 par appareil ($)]]/Tableau4[[#This Row],[Surcoût par appareil ($)]]</f>
        <v>0.71147852012467816</v>
      </c>
      <c r="AB20" s="194">
        <f>Tableau4[[#This Row],[Couverture 3 (%)]]*Tableau4[[#This Row],[Nombres appareils installés]]</f>
        <v>1.4229570402493563</v>
      </c>
      <c r="AC20" s="189">
        <f>($AC$4+$AD$4*(Tableau4[[#This Row],[Capacité (BTU)]]/1000))*Tableau4[[#This Row],[Nombres appareils installés]]</f>
        <v>5440</v>
      </c>
      <c r="AD20" s="189">
        <f>Tableau4[[#This Row],[AF 4 ($)]]/Tableau4[[#This Row],[Nombres appareils installés]]</f>
        <v>2720</v>
      </c>
      <c r="AE20" s="195">
        <f>Tableau4[[#This Row],[Couverture 4 (%)]]*Tableau4[[#This Row],[Nombres appareils installés]]</f>
        <v>1.2287121109454759</v>
      </c>
      <c r="AF20" s="194">
        <f>Tableau4[[#This Row],[AF 4 par appareil  ($)]]/Tableau4[[#This Row],[Surcoût par appareil ($)]]</f>
        <v>0.61435605547273797</v>
      </c>
    </row>
    <row r="21" spans="2:32" x14ac:dyDescent="0.3">
      <c r="B21" s="188" t="s">
        <v>205</v>
      </c>
      <c r="C21" s="189" t="s">
        <v>218</v>
      </c>
      <c r="D21" s="189">
        <v>1</v>
      </c>
      <c r="E21" s="189">
        <v>135000</v>
      </c>
      <c r="F21" s="190">
        <f>Tableau4[[#This Row],[Economies totales (m3)]]/Tableau4[[#This Row],[Nombres appareils installés]]</f>
        <v>1068</v>
      </c>
      <c r="G21" s="191">
        <v>1068</v>
      </c>
      <c r="H21" s="189">
        <f t="shared" si="0"/>
        <v>2066.65</v>
      </c>
      <c r="I21" s="189">
        <v>2400</v>
      </c>
      <c r="J21" s="189">
        <f>Tableau4[[#This Row],[Surcoût moyens de l''équipement ($)]]+Tableau4[[#This Row],[Surcoût moyen de l''installation ($)]]</f>
        <v>4466.6499999999996</v>
      </c>
      <c r="K21" s="189">
        <f>Tableau4[[#This Row],[Surcoût par appareil ($)]]*Tableau4[[#This Row],[Nombres appareils installés]]</f>
        <v>4466.6499999999996</v>
      </c>
      <c r="L21" s="191">
        <v>1700</v>
      </c>
      <c r="M21" s="189">
        <f t="shared" si="1"/>
        <v>1575</v>
      </c>
      <c r="N21" s="189">
        <f>Tableau4[[#This Row],[AF 0 ($)]]/Tableau4[[#This Row],[Nombres appareils installés]]</f>
        <v>1575</v>
      </c>
      <c r="O21" s="192">
        <f>(Tableau4[[#This Row],[AF accordée ($)]])/($J$6*D21)</f>
        <v>0.42463905680171854</v>
      </c>
      <c r="P21" s="192">
        <f>Tableau4[[#This Row],[Couverture 0 (%)]]*Tableau4[[#This Row],[Nombres appareils installés]]</f>
        <v>0.42463905680171854</v>
      </c>
      <c r="Q21" s="189">
        <f>($Q$4+$R$4*(Tableau4[[#This Row],[Capacité (BTU)]]/1000))*Tableau4[[#This Row],[Nombres appareils installés]]</f>
        <v>2675</v>
      </c>
      <c r="R21" s="189">
        <f>Tableau4[[#This Row],[AF 1 ($)]]/Tableau4[[#This Row],[Nombres appareils installés]]</f>
        <v>2675</v>
      </c>
      <c r="S21" s="192">
        <f>Tableau4[[#This Row],[AF 1 ($)]]/(J21*D21)</f>
        <v>0.59888283165235701</v>
      </c>
      <c r="T21" s="192">
        <f>Tableau4[[#This Row],[Couverture 1 (%)]]*Tableau4[[#This Row],[Nombres appareils installés]]</f>
        <v>0.59888283165235701</v>
      </c>
      <c r="U21" s="189">
        <f>($U$4+($V$4*(Tableau4[[#This Row],[Capacité (BTU)]]/1000)))*Tableau4[[#This Row],[Nombres appareils installés]]</f>
        <v>3012.5</v>
      </c>
      <c r="V21" s="189">
        <f>Tableau4[[#This Row],[AF 2 ($)]]/Tableau4[[#This Row],[Nombres appareils installés]]</f>
        <v>3012.5</v>
      </c>
      <c r="W21" s="193">
        <f>Tableau4[[#This Row],[AF 2 par appareil ($)]]/Tableau4[[#This Row],[Surcoût par appareil ($)]]</f>
        <v>0.67444281508513093</v>
      </c>
      <c r="X21" s="193">
        <f>Tableau4[[#This Row],[Couverture 2 (%)]]*Tableau4[[#This Row],[Nombres appareils installés]]</f>
        <v>0.67444281508513093</v>
      </c>
      <c r="Y21" s="189">
        <f>($Y$4+$Z$4*(Tableau4[[#This Row],[Capacité (BTU)]]/1000))*Tableau4[[#This Row],[Nombres appareils installés]]</f>
        <v>3175</v>
      </c>
      <c r="Z21" s="189">
        <f>Tableau4[[#This Row],[AF 3 ($)]]/Tableau4[[#This Row],[Nombres appareils installés]]</f>
        <v>3175</v>
      </c>
      <c r="AA21" s="194">
        <f>Tableau4[[#This Row],[AF 3 par appareil ($)]]/Tableau4[[#This Row],[Surcoût par appareil ($)]]</f>
        <v>0.71082354784905921</v>
      </c>
      <c r="AB21" s="194">
        <f>Tableau4[[#This Row],[Couverture 3 (%)]]*Tableau4[[#This Row],[Nombres appareils installés]]</f>
        <v>0.71082354784905921</v>
      </c>
      <c r="AC21" s="189">
        <f>($AC$4+$AD$4*(Tableau4[[#This Row],[Capacité (BTU)]]/1000))*Tableau4[[#This Row],[Nombres appareils installés]]</f>
        <v>2740</v>
      </c>
      <c r="AD21" s="189">
        <f>Tableau4[[#This Row],[AF 4 ($)]]/Tableau4[[#This Row],[Nombres appareils installés]]</f>
        <v>2740</v>
      </c>
      <c r="AE21" s="195">
        <f>Tableau4[[#This Row],[Couverture 4 (%)]]*Tableau4[[#This Row],[Nombres appareils installés]]</f>
        <v>0.61343512475792827</v>
      </c>
      <c r="AF21" s="194">
        <f>Tableau4[[#This Row],[AF 4 par appareil  ($)]]/Tableau4[[#This Row],[Surcoût par appareil ($)]]</f>
        <v>0.61343512475792827</v>
      </c>
    </row>
    <row r="22" spans="2:32" x14ac:dyDescent="0.3">
      <c r="B22" s="188" t="s">
        <v>205</v>
      </c>
      <c r="C22" s="189" t="s">
        <v>219</v>
      </c>
      <c r="D22" s="189">
        <v>1</v>
      </c>
      <c r="E22" s="189">
        <v>135000</v>
      </c>
      <c r="F22" s="190">
        <f>Tableau4[[#This Row],[Economies totales (m3)]]/Tableau4[[#This Row],[Nombres appareils installés]]</f>
        <v>1068</v>
      </c>
      <c r="G22" s="191">
        <v>1068</v>
      </c>
      <c r="H22" s="189">
        <f t="shared" si="0"/>
        <v>2066.65</v>
      </c>
      <c r="I22" s="189">
        <v>2400</v>
      </c>
      <c r="J22" s="189">
        <f>Tableau4[[#This Row],[Surcoût moyens de l''équipement ($)]]+Tableau4[[#This Row],[Surcoût moyen de l''installation ($)]]</f>
        <v>4466.6499999999996</v>
      </c>
      <c r="K22" s="189">
        <f>Tableau4[[#This Row],[Surcoût par appareil ($)]]*Tableau4[[#This Row],[Nombres appareils installés]]</f>
        <v>4466.6499999999996</v>
      </c>
      <c r="L22" s="191">
        <v>1700</v>
      </c>
      <c r="M22" s="189">
        <f t="shared" si="1"/>
        <v>1575</v>
      </c>
      <c r="N22" s="189">
        <f>Tableau4[[#This Row],[AF 0 ($)]]/Tableau4[[#This Row],[Nombres appareils installés]]</f>
        <v>1575</v>
      </c>
      <c r="O22" s="192">
        <f>(Tableau4[[#This Row],[AF accordée ($)]])/($J$6*D22)</f>
        <v>0.42463905680171854</v>
      </c>
      <c r="P22" s="192">
        <f>Tableau4[[#This Row],[Couverture 0 (%)]]*Tableau4[[#This Row],[Nombres appareils installés]]</f>
        <v>0.42463905680171854</v>
      </c>
      <c r="Q22" s="189">
        <f>($Q$4+$R$4*(Tableau4[[#This Row],[Capacité (BTU)]]/1000))*Tableau4[[#This Row],[Nombres appareils installés]]</f>
        <v>2675</v>
      </c>
      <c r="R22" s="189">
        <f>Tableau4[[#This Row],[AF 1 ($)]]/Tableau4[[#This Row],[Nombres appareils installés]]</f>
        <v>2675</v>
      </c>
      <c r="S22" s="192">
        <f>Tableau4[[#This Row],[AF 1 ($)]]/(J22*D22)</f>
        <v>0.59888283165235701</v>
      </c>
      <c r="T22" s="192">
        <f>Tableau4[[#This Row],[Couverture 1 (%)]]*Tableau4[[#This Row],[Nombres appareils installés]]</f>
        <v>0.59888283165235701</v>
      </c>
      <c r="U22" s="189">
        <f>($U$4+($V$4*(Tableau4[[#This Row],[Capacité (BTU)]]/1000)))*Tableau4[[#This Row],[Nombres appareils installés]]</f>
        <v>3012.5</v>
      </c>
      <c r="V22" s="189">
        <f>Tableau4[[#This Row],[AF 2 ($)]]/Tableau4[[#This Row],[Nombres appareils installés]]</f>
        <v>3012.5</v>
      </c>
      <c r="W22" s="193">
        <f>Tableau4[[#This Row],[AF 2 par appareil ($)]]/Tableau4[[#This Row],[Surcoût par appareil ($)]]</f>
        <v>0.67444281508513093</v>
      </c>
      <c r="X22" s="193">
        <f>Tableau4[[#This Row],[Couverture 2 (%)]]*Tableau4[[#This Row],[Nombres appareils installés]]</f>
        <v>0.67444281508513093</v>
      </c>
      <c r="Y22" s="189">
        <f>($Y$4+$Z$4*(Tableau4[[#This Row],[Capacité (BTU)]]/1000))*Tableau4[[#This Row],[Nombres appareils installés]]</f>
        <v>3175</v>
      </c>
      <c r="Z22" s="189">
        <f>Tableau4[[#This Row],[AF 3 ($)]]/Tableau4[[#This Row],[Nombres appareils installés]]</f>
        <v>3175</v>
      </c>
      <c r="AA22" s="194">
        <f>Tableau4[[#This Row],[AF 3 par appareil ($)]]/Tableau4[[#This Row],[Surcoût par appareil ($)]]</f>
        <v>0.71082354784905921</v>
      </c>
      <c r="AB22" s="194">
        <f>Tableau4[[#This Row],[Couverture 3 (%)]]*Tableau4[[#This Row],[Nombres appareils installés]]</f>
        <v>0.71082354784905921</v>
      </c>
      <c r="AC22" s="189">
        <f>($AC$4+$AD$4*(Tableau4[[#This Row],[Capacité (BTU)]]/1000))*Tableau4[[#This Row],[Nombres appareils installés]]</f>
        <v>2740</v>
      </c>
      <c r="AD22" s="189">
        <f>Tableau4[[#This Row],[AF 4 ($)]]/Tableau4[[#This Row],[Nombres appareils installés]]</f>
        <v>2740</v>
      </c>
      <c r="AE22" s="195">
        <f>Tableau4[[#This Row],[Couverture 4 (%)]]*Tableau4[[#This Row],[Nombres appareils installés]]</f>
        <v>0.61343512475792827</v>
      </c>
      <c r="AF22" s="194">
        <f>Tableau4[[#This Row],[AF 4 par appareil  ($)]]/Tableau4[[#This Row],[Surcoût par appareil ($)]]</f>
        <v>0.61343512475792827</v>
      </c>
    </row>
    <row r="23" spans="2:32" x14ac:dyDescent="0.3">
      <c r="B23" s="188" t="s">
        <v>205</v>
      </c>
      <c r="C23" s="189" t="s">
        <v>220</v>
      </c>
      <c r="D23" s="189">
        <v>1</v>
      </c>
      <c r="E23" s="189">
        <v>135000</v>
      </c>
      <c r="F23" s="190">
        <f>Tableau4[[#This Row],[Economies totales (m3)]]/Tableau4[[#This Row],[Nombres appareils installés]]</f>
        <v>1068</v>
      </c>
      <c r="G23" s="191">
        <v>1068</v>
      </c>
      <c r="H23" s="189">
        <f t="shared" si="0"/>
        <v>2066.65</v>
      </c>
      <c r="I23" s="189">
        <v>2400</v>
      </c>
      <c r="J23" s="189">
        <f>Tableau4[[#This Row],[Surcoût moyens de l''équipement ($)]]+Tableau4[[#This Row],[Surcoût moyen de l''installation ($)]]</f>
        <v>4466.6499999999996</v>
      </c>
      <c r="K23" s="189">
        <f>Tableau4[[#This Row],[Surcoût par appareil ($)]]*Tableau4[[#This Row],[Nombres appareils installés]]</f>
        <v>4466.6499999999996</v>
      </c>
      <c r="L23" s="191">
        <v>1700</v>
      </c>
      <c r="M23" s="189">
        <f t="shared" si="1"/>
        <v>1575</v>
      </c>
      <c r="N23" s="189">
        <f>Tableau4[[#This Row],[AF 0 ($)]]/Tableau4[[#This Row],[Nombres appareils installés]]</f>
        <v>1575</v>
      </c>
      <c r="O23" s="192">
        <f>(Tableau4[[#This Row],[AF accordée ($)]])/($J$6*D23)</f>
        <v>0.42463905680171854</v>
      </c>
      <c r="P23" s="192">
        <f>Tableau4[[#This Row],[Couverture 0 (%)]]*Tableau4[[#This Row],[Nombres appareils installés]]</f>
        <v>0.42463905680171854</v>
      </c>
      <c r="Q23" s="189">
        <f>($Q$4+$R$4*(Tableau4[[#This Row],[Capacité (BTU)]]/1000))*Tableau4[[#This Row],[Nombres appareils installés]]</f>
        <v>2675</v>
      </c>
      <c r="R23" s="189">
        <f>Tableau4[[#This Row],[AF 1 ($)]]/Tableau4[[#This Row],[Nombres appareils installés]]</f>
        <v>2675</v>
      </c>
      <c r="S23" s="192">
        <f>Tableau4[[#This Row],[AF 1 ($)]]/(J23*D23)</f>
        <v>0.59888283165235701</v>
      </c>
      <c r="T23" s="192">
        <f>Tableau4[[#This Row],[Couverture 1 (%)]]*Tableau4[[#This Row],[Nombres appareils installés]]</f>
        <v>0.59888283165235701</v>
      </c>
      <c r="U23" s="189">
        <f>($U$4+($V$4*(Tableau4[[#This Row],[Capacité (BTU)]]/1000)))*Tableau4[[#This Row],[Nombres appareils installés]]</f>
        <v>3012.5</v>
      </c>
      <c r="V23" s="189">
        <f>Tableau4[[#This Row],[AF 2 ($)]]/Tableau4[[#This Row],[Nombres appareils installés]]</f>
        <v>3012.5</v>
      </c>
      <c r="W23" s="193">
        <f>Tableau4[[#This Row],[AF 2 par appareil ($)]]/Tableau4[[#This Row],[Surcoût par appareil ($)]]</f>
        <v>0.67444281508513093</v>
      </c>
      <c r="X23" s="193">
        <f>Tableau4[[#This Row],[Couverture 2 (%)]]*Tableau4[[#This Row],[Nombres appareils installés]]</f>
        <v>0.67444281508513093</v>
      </c>
      <c r="Y23" s="189">
        <f>($Y$4+$Z$4*(Tableau4[[#This Row],[Capacité (BTU)]]/1000))*Tableau4[[#This Row],[Nombres appareils installés]]</f>
        <v>3175</v>
      </c>
      <c r="Z23" s="189">
        <f>Tableau4[[#This Row],[AF 3 ($)]]/Tableau4[[#This Row],[Nombres appareils installés]]</f>
        <v>3175</v>
      </c>
      <c r="AA23" s="194">
        <f>Tableau4[[#This Row],[AF 3 par appareil ($)]]/Tableau4[[#This Row],[Surcoût par appareil ($)]]</f>
        <v>0.71082354784905921</v>
      </c>
      <c r="AB23" s="194">
        <f>Tableau4[[#This Row],[Couverture 3 (%)]]*Tableau4[[#This Row],[Nombres appareils installés]]</f>
        <v>0.71082354784905921</v>
      </c>
      <c r="AC23" s="189">
        <f>($AC$4+$AD$4*(Tableau4[[#This Row],[Capacité (BTU)]]/1000))*Tableau4[[#This Row],[Nombres appareils installés]]</f>
        <v>2740</v>
      </c>
      <c r="AD23" s="189">
        <f>Tableau4[[#This Row],[AF 4 ($)]]/Tableau4[[#This Row],[Nombres appareils installés]]</f>
        <v>2740</v>
      </c>
      <c r="AE23" s="195">
        <f>Tableau4[[#This Row],[Couverture 4 (%)]]*Tableau4[[#This Row],[Nombres appareils installés]]</f>
        <v>0.61343512475792827</v>
      </c>
      <c r="AF23" s="194">
        <f>Tableau4[[#This Row],[AF 4 par appareil  ($)]]/Tableau4[[#This Row],[Surcoût par appareil ($)]]</f>
        <v>0.61343512475792827</v>
      </c>
    </row>
    <row r="24" spans="2:32" x14ac:dyDescent="0.3">
      <c r="B24" s="188" t="s">
        <v>205</v>
      </c>
      <c r="C24" s="189" t="s">
        <v>216</v>
      </c>
      <c r="D24" s="189">
        <v>1</v>
      </c>
      <c r="E24" s="189">
        <v>135000</v>
      </c>
      <c r="F24" s="190">
        <f>Tableau4[[#This Row],[Economies totales (m3)]]/Tableau4[[#This Row],[Nombres appareils installés]]</f>
        <v>1068</v>
      </c>
      <c r="G24" s="191">
        <v>1068</v>
      </c>
      <c r="H24" s="189">
        <f t="shared" si="0"/>
        <v>2066.65</v>
      </c>
      <c r="I24" s="189">
        <v>2400</v>
      </c>
      <c r="J24" s="189">
        <f>Tableau4[[#This Row],[Surcoût moyens de l''équipement ($)]]+Tableau4[[#This Row],[Surcoût moyen de l''installation ($)]]</f>
        <v>4466.6499999999996</v>
      </c>
      <c r="K24" s="189">
        <f>Tableau4[[#This Row],[Surcoût par appareil ($)]]*Tableau4[[#This Row],[Nombres appareils installés]]</f>
        <v>4466.6499999999996</v>
      </c>
      <c r="L24" s="191">
        <v>1700</v>
      </c>
      <c r="M24" s="189">
        <f t="shared" si="1"/>
        <v>1575</v>
      </c>
      <c r="N24" s="189">
        <f>Tableau4[[#This Row],[AF 0 ($)]]/Tableau4[[#This Row],[Nombres appareils installés]]</f>
        <v>1575</v>
      </c>
      <c r="O24" s="192">
        <f>(Tableau4[[#This Row],[AF accordée ($)]])/($J$6*D24)</f>
        <v>0.42463905680171854</v>
      </c>
      <c r="P24" s="192">
        <f>Tableau4[[#This Row],[Couverture 0 (%)]]*Tableau4[[#This Row],[Nombres appareils installés]]</f>
        <v>0.42463905680171854</v>
      </c>
      <c r="Q24" s="189">
        <f>($Q$4+$R$4*(Tableau4[[#This Row],[Capacité (BTU)]]/1000))*Tableau4[[#This Row],[Nombres appareils installés]]</f>
        <v>2675</v>
      </c>
      <c r="R24" s="189">
        <f>Tableau4[[#This Row],[AF 1 ($)]]/Tableau4[[#This Row],[Nombres appareils installés]]</f>
        <v>2675</v>
      </c>
      <c r="S24" s="192">
        <f>Tableau4[[#This Row],[AF 1 ($)]]/(J24*D24)</f>
        <v>0.59888283165235701</v>
      </c>
      <c r="T24" s="192">
        <f>Tableau4[[#This Row],[Couverture 1 (%)]]*Tableau4[[#This Row],[Nombres appareils installés]]</f>
        <v>0.59888283165235701</v>
      </c>
      <c r="U24" s="189">
        <f>($U$4+($V$4*(Tableau4[[#This Row],[Capacité (BTU)]]/1000)))*Tableau4[[#This Row],[Nombres appareils installés]]</f>
        <v>3012.5</v>
      </c>
      <c r="V24" s="189">
        <f>Tableau4[[#This Row],[AF 2 ($)]]/Tableau4[[#This Row],[Nombres appareils installés]]</f>
        <v>3012.5</v>
      </c>
      <c r="W24" s="193">
        <f>Tableau4[[#This Row],[AF 2 par appareil ($)]]/Tableau4[[#This Row],[Surcoût par appareil ($)]]</f>
        <v>0.67444281508513093</v>
      </c>
      <c r="X24" s="193">
        <f>Tableau4[[#This Row],[Couverture 2 (%)]]*Tableau4[[#This Row],[Nombres appareils installés]]</f>
        <v>0.67444281508513093</v>
      </c>
      <c r="Y24" s="189">
        <f>($Y$4+$Z$4*(Tableau4[[#This Row],[Capacité (BTU)]]/1000))*Tableau4[[#This Row],[Nombres appareils installés]]</f>
        <v>3175</v>
      </c>
      <c r="Z24" s="189">
        <f>Tableau4[[#This Row],[AF 3 ($)]]/Tableau4[[#This Row],[Nombres appareils installés]]</f>
        <v>3175</v>
      </c>
      <c r="AA24" s="194">
        <f>Tableau4[[#This Row],[AF 3 par appareil ($)]]/Tableau4[[#This Row],[Surcoût par appareil ($)]]</f>
        <v>0.71082354784905921</v>
      </c>
      <c r="AB24" s="194">
        <f>Tableau4[[#This Row],[Couverture 3 (%)]]*Tableau4[[#This Row],[Nombres appareils installés]]</f>
        <v>0.71082354784905921</v>
      </c>
      <c r="AC24" s="189">
        <f>($AC$4+$AD$4*(Tableau4[[#This Row],[Capacité (BTU)]]/1000))*Tableau4[[#This Row],[Nombres appareils installés]]</f>
        <v>2740</v>
      </c>
      <c r="AD24" s="189">
        <f>Tableau4[[#This Row],[AF 4 ($)]]/Tableau4[[#This Row],[Nombres appareils installés]]</f>
        <v>2740</v>
      </c>
      <c r="AE24" s="195">
        <f>Tableau4[[#This Row],[Couverture 4 (%)]]*Tableau4[[#This Row],[Nombres appareils installés]]</f>
        <v>0.61343512475792827</v>
      </c>
      <c r="AF24" s="194">
        <f>Tableau4[[#This Row],[AF 4 par appareil  ($)]]/Tableau4[[#This Row],[Surcoût par appareil ($)]]</f>
        <v>0.61343512475792827</v>
      </c>
    </row>
    <row r="25" spans="2:32" x14ac:dyDescent="0.3">
      <c r="B25" s="188" t="s">
        <v>205</v>
      </c>
      <c r="C25" s="189" t="s">
        <v>216</v>
      </c>
      <c r="D25" s="189">
        <v>2</v>
      </c>
      <c r="E25" s="189">
        <v>135000</v>
      </c>
      <c r="F25" s="190">
        <f>Tableau4[[#This Row],[Economies totales (m3)]]/Tableau4[[#This Row],[Nombres appareils installés]]</f>
        <v>1068</v>
      </c>
      <c r="G25" s="191">
        <v>2136</v>
      </c>
      <c r="H25" s="189">
        <f t="shared" si="0"/>
        <v>2066.65</v>
      </c>
      <c r="I25" s="189">
        <v>2400</v>
      </c>
      <c r="J25" s="189">
        <f>Tableau4[[#This Row],[Surcoût moyens de l''équipement ($)]]+Tableau4[[#This Row],[Surcoût moyen de l''installation ($)]]</f>
        <v>4466.6499999999996</v>
      </c>
      <c r="K25" s="189">
        <f>Tableau4[[#This Row],[Surcoût par appareil ($)]]*Tableau4[[#This Row],[Nombres appareils installés]]</f>
        <v>8933.2999999999993</v>
      </c>
      <c r="L25" s="191">
        <v>3400</v>
      </c>
      <c r="M25" s="189">
        <f t="shared" si="1"/>
        <v>3150</v>
      </c>
      <c r="N25" s="189">
        <f>Tableau4[[#This Row],[AF 0 ($)]]/Tableau4[[#This Row],[Nombres appareils installés]]</f>
        <v>1575</v>
      </c>
      <c r="O25" s="192">
        <f>(Tableau4[[#This Row],[AF accordée ($)]])/($J$6*D25)</f>
        <v>0.42463905680171854</v>
      </c>
      <c r="P25" s="192">
        <f>Tableau4[[#This Row],[Couverture 0 (%)]]*Tableau4[[#This Row],[Nombres appareils installés]]</f>
        <v>0.84927811360343708</v>
      </c>
      <c r="Q25" s="189">
        <f>($Q$4+$R$4*(Tableau4[[#This Row],[Capacité (BTU)]]/1000))*Tableau4[[#This Row],[Nombres appareils installés]]</f>
        <v>5350</v>
      </c>
      <c r="R25" s="189">
        <f>Tableau4[[#This Row],[AF 1 ($)]]/Tableau4[[#This Row],[Nombres appareils installés]]</f>
        <v>2675</v>
      </c>
      <c r="S25" s="192">
        <f>Tableau4[[#This Row],[AF 1 ($)]]/(J25*D25)</f>
        <v>0.59888283165235701</v>
      </c>
      <c r="T25" s="192">
        <f>Tableau4[[#This Row],[Couverture 1 (%)]]*Tableau4[[#This Row],[Nombres appareils installés]]</f>
        <v>1.197765663304714</v>
      </c>
      <c r="U25" s="189">
        <f>($U$4+($V$4*(Tableau4[[#This Row],[Capacité (BTU)]]/1000)))*Tableau4[[#This Row],[Nombres appareils installés]]</f>
        <v>6025</v>
      </c>
      <c r="V25" s="189">
        <f>Tableau4[[#This Row],[AF 2 ($)]]/Tableau4[[#This Row],[Nombres appareils installés]]</f>
        <v>3012.5</v>
      </c>
      <c r="W25" s="193">
        <f>Tableau4[[#This Row],[AF 2 par appareil ($)]]/Tableau4[[#This Row],[Surcoût par appareil ($)]]</f>
        <v>0.67444281508513093</v>
      </c>
      <c r="X25" s="193">
        <f>Tableau4[[#This Row],[Couverture 2 (%)]]*Tableau4[[#This Row],[Nombres appareils installés]]</f>
        <v>1.3488856301702619</v>
      </c>
      <c r="Y25" s="189">
        <f>($Y$4+$Z$4*(Tableau4[[#This Row],[Capacité (BTU)]]/1000))*Tableau4[[#This Row],[Nombres appareils installés]]</f>
        <v>6350</v>
      </c>
      <c r="Z25" s="189">
        <f>Tableau4[[#This Row],[AF 3 ($)]]/Tableau4[[#This Row],[Nombres appareils installés]]</f>
        <v>3175</v>
      </c>
      <c r="AA25" s="194">
        <f>Tableau4[[#This Row],[AF 3 par appareil ($)]]/Tableau4[[#This Row],[Surcoût par appareil ($)]]</f>
        <v>0.71082354784905921</v>
      </c>
      <c r="AB25" s="194">
        <f>Tableau4[[#This Row],[Couverture 3 (%)]]*Tableau4[[#This Row],[Nombres appareils installés]]</f>
        <v>1.4216470956981184</v>
      </c>
      <c r="AC25" s="189">
        <f>($AC$4+$AD$4*(Tableau4[[#This Row],[Capacité (BTU)]]/1000))*Tableau4[[#This Row],[Nombres appareils installés]]</f>
        <v>5480</v>
      </c>
      <c r="AD25" s="189">
        <f>Tableau4[[#This Row],[AF 4 ($)]]/Tableau4[[#This Row],[Nombres appareils installés]]</f>
        <v>2740</v>
      </c>
      <c r="AE25" s="195">
        <f>Tableau4[[#This Row],[Couverture 4 (%)]]*Tableau4[[#This Row],[Nombres appareils installés]]</f>
        <v>1.2268702495158565</v>
      </c>
      <c r="AF25" s="194">
        <f>Tableau4[[#This Row],[AF 4 par appareil  ($)]]/Tableau4[[#This Row],[Surcoût par appareil ($)]]</f>
        <v>0.61343512475792827</v>
      </c>
    </row>
    <row r="26" spans="2:32" x14ac:dyDescent="0.3">
      <c r="B26" s="188" t="s">
        <v>205</v>
      </c>
      <c r="C26" s="189" t="s">
        <v>216</v>
      </c>
      <c r="D26" s="189">
        <v>2</v>
      </c>
      <c r="E26" s="189">
        <v>135000</v>
      </c>
      <c r="F26" s="190">
        <f>Tableau4[[#This Row],[Economies totales (m3)]]/Tableau4[[#This Row],[Nombres appareils installés]]</f>
        <v>1068</v>
      </c>
      <c r="G26" s="191">
        <v>2136</v>
      </c>
      <c r="H26" s="189">
        <f t="shared" si="0"/>
        <v>2066.65</v>
      </c>
      <c r="I26" s="189">
        <v>2400</v>
      </c>
      <c r="J26" s="189">
        <f>Tableau4[[#This Row],[Surcoût moyens de l''équipement ($)]]+Tableau4[[#This Row],[Surcoût moyen de l''installation ($)]]</f>
        <v>4466.6499999999996</v>
      </c>
      <c r="K26" s="189">
        <f>Tableau4[[#This Row],[Surcoût par appareil ($)]]*Tableau4[[#This Row],[Nombres appareils installés]]</f>
        <v>8933.2999999999993</v>
      </c>
      <c r="L26" s="191">
        <v>3400</v>
      </c>
      <c r="M26" s="189">
        <f t="shared" si="1"/>
        <v>3150</v>
      </c>
      <c r="N26" s="189">
        <f>Tableau4[[#This Row],[AF 0 ($)]]/Tableau4[[#This Row],[Nombres appareils installés]]</f>
        <v>1575</v>
      </c>
      <c r="O26" s="192">
        <f>(Tableau4[[#This Row],[AF accordée ($)]])/($J$6*D26)</f>
        <v>0.42463905680171854</v>
      </c>
      <c r="P26" s="192">
        <f>Tableau4[[#This Row],[Couverture 0 (%)]]*Tableau4[[#This Row],[Nombres appareils installés]]</f>
        <v>0.84927811360343708</v>
      </c>
      <c r="Q26" s="189">
        <f>($Q$4+$R$4*(Tableau4[[#This Row],[Capacité (BTU)]]/1000))*Tableau4[[#This Row],[Nombres appareils installés]]</f>
        <v>5350</v>
      </c>
      <c r="R26" s="189">
        <f>Tableau4[[#This Row],[AF 1 ($)]]/Tableau4[[#This Row],[Nombres appareils installés]]</f>
        <v>2675</v>
      </c>
      <c r="S26" s="192">
        <f>Tableau4[[#This Row],[AF 1 ($)]]/(J26*D26)</f>
        <v>0.59888283165235701</v>
      </c>
      <c r="T26" s="192">
        <f>Tableau4[[#This Row],[Couverture 1 (%)]]*Tableau4[[#This Row],[Nombres appareils installés]]</f>
        <v>1.197765663304714</v>
      </c>
      <c r="U26" s="189">
        <f>($U$4+($V$4*(Tableau4[[#This Row],[Capacité (BTU)]]/1000)))*Tableau4[[#This Row],[Nombres appareils installés]]</f>
        <v>6025</v>
      </c>
      <c r="V26" s="189">
        <f>Tableau4[[#This Row],[AF 2 ($)]]/Tableau4[[#This Row],[Nombres appareils installés]]</f>
        <v>3012.5</v>
      </c>
      <c r="W26" s="193">
        <f>Tableau4[[#This Row],[AF 2 par appareil ($)]]/Tableau4[[#This Row],[Surcoût par appareil ($)]]</f>
        <v>0.67444281508513093</v>
      </c>
      <c r="X26" s="193">
        <f>Tableau4[[#This Row],[Couverture 2 (%)]]*Tableau4[[#This Row],[Nombres appareils installés]]</f>
        <v>1.3488856301702619</v>
      </c>
      <c r="Y26" s="189">
        <f>($Y$4+$Z$4*(Tableau4[[#This Row],[Capacité (BTU)]]/1000))*Tableau4[[#This Row],[Nombres appareils installés]]</f>
        <v>6350</v>
      </c>
      <c r="Z26" s="189">
        <f>Tableau4[[#This Row],[AF 3 ($)]]/Tableau4[[#This Row],[Nombres appareils installés]]</f>
        <v>3175</v>
      </c>
      <c r="AA26" s="194">
        <f>Tableau4[[#This Row],[AF 3 par appareil ($)]]/Tableau4[[#This Row],[Surcoût par appareil ($)]]</f>
        <v>0.71082354784905921</v>
      </c>
      <c r="AB26" s="194">
        <f>Tableau4[[#This Row],[Couverture 3 (%)]]*Tableau4[[#This Row],[Nombres appareils installés]]</f>
        <v>1.4216470956981184</v>
      </c>
      <c r="AC26" s="189">
        <f>($AC$4+$AD$4*(Tableau4[[#This Row],[Capacité (BTU)]]/1000))*Tableau4[[#This Row],[Nombres appareils installés]]</f>
        <v>5480</v>
      </c>
      <c r="AD26" s="189">
        <f>Tableau4[[#This Row],[AF 4 ($)]]/Tableau4[[#This Row],[Nombres appareils installés]]</f>
        <v>2740</v>
      </c>
      <c r="AE26" s="195">
        <f>Tableau4[[#This Row],[Couverture 4 (%)]]*Tableau4[[#This Row],[Nombres appareils installés]]</f>
        <v>1.2268702495158565</v>
      </c>
      <c r="AF26" s="194">
        <f>Tableau4[[#This Row],[AF 4 par appareil  ($)]]/Tableau4[[#This Row],[Surcoût par appareil ($)]]</f>
        <v>0.61343512475792827</v>
      </c>
    </row>
    <row r="27" spans="2:32" x14ac:dyDescent="0.3">
      <c r="B27" s="188" t="s">
        <v>205</v>
      </c>
      <c r="C27" s="189" t="s">
        <v>221</v>
      </c>
      <c r="D27" s="189">
        <v>1</v>
      </c>
      <c r="E27" s="189">
        <v>150000</v>
      </c>
      <c r="F27" s="190">
        <f>Tableau4[[#This Row],[Economies totales (m3)]]/Tableau4[[#This Row],[Nombres appareils installés]]</f>
        <v>1068</v>
      </c>
      <c r="G27" s="191">
        <v>1068</v>
      </c>
      <c r="H27" s="189">
        <f t="shared" si="0"/>
        <v>2193.4</v>
      </c>
      <c r="I27" s="189">
        <v>2400</v>
      </c>
      <c r="J27" s="189">
        <f>Tableau4[[#This Row],[Surcoût moyens de l''équipement ($)]]+Tableau4[[#This Row],[Surcoût moyen de l''installation ($)]]</f>
        <v>4593.3999999999996</v>
      </c>
      <c r="K27" s="189">
        <f>Tableau4[[#This Row],[Surcoût par appareil ($)]]*Tableau4[[#This Row],[Nombres appareils installés]]</f>
        <v>4593.3999999999996</v>
      </c>
      <c r="L27" s="191">
        <v>1700</v>
      </c>
      <c r="M27" s="189">
        <f t="shared" si="1"/>
        <v>1650</v>
      </c>
      <c r="N27" s="189">
        <f>Tableau4[[#This Row],[AF 0 ($)]]/Tableau4[[#This Row],[Nombres appareils installés]]</f>
        <v>1650</v>
      </c>
      <c r="O27" s="192">
        <f>(Tableau4[[#This Row],[AF accordée ($)]])/($J$6*D27)</f>
        <v>0.42463905680171854</v>
      </c>
      <c r="P27" s="192">
        <f>Tableau4[[#This Row],[Couverture 0 (%)]]*Tableau4[[#This Row],[Nombres appareils installés]]</f>
        <v>0.42463905680171854</v>
      </c>
      <c r="Q27" s="189">
        <f>($Q$4+$R$4*(Tableau4[[#This Row],[Capacité (BTU)]]/1000))*Tableau4[[#This Row],[Nombres appareils installés]]</f>
        <v>2750</v>
      </c>
      <c r="R27" s="189">
        <f>Tableau4[[#This Row],[AF 1 ($)]]/Tableau4[[#This Row],[Nombres appareils installés]]</f>
        <v>2750</v>
      </c>
      <c r="S27" s="192">
        <f>Tableau4[[#This Row],[AF 1 ($)]]/(J27*D27)</f>
        <v>0.59868506988287551</v>
      </c>
      <c r="T27" s="192">
        <f>Tableau4[[#This Row],[Couverture 1 (%)]]*Tableau4[[#This Row],[Nombres appareils installés]]</f>
        <v>0.59868506988287551</v>
      </c>
      <c r="U27" s="189">
        <f>($U$4+($V$4*(Tableau4[[#This Row],[Capacité (BTU)]]/1000)))*Tableau4[[#This Row],[Nombres appareils installés]]</f>
        <v>3125</v>
      </c>
      <c r="V27" s="189">
        <f>Tableau4[[#This Row],[AF 2 ($)]]/Tableau4[[#This Row],[Nombres appareils installés]]</f>
        <v>3125</v>
      </c>
      <c r="W27" s="193">
        <f>Tableau4[[#This Row],[AF 2 par appareil ($)]]/Tableau4[[#This Row],[Surcoût par appareil ($)]]</f>
        <v>0.68032394304872212</v>
      </c>
      <c r="X27" s="193">
        <f>Tableau4[[#This Row],[Couverture 2 (%)]]*Tableau4[[#This Row],[Nombres appareils installés]]</f>
        <v>0.68032394304872212</v>
      </c>
      <c r="Y27" s="189">
        <f>($Y$4+$Z$4*(Tableau4[[#This Row],[Capacité (BTU)]]/1000))*Tableau4[[#This Row],[Nombres appareils installés]]</f>
        <v>3250</v>
      </c>
      <c r="Z27" s="189">
        <f>Tableau4[[#This Row],[AF 3 ($)]]/Tableau4[[#This Row],[Nombres appareils installés]]</f>
        <v>3250</v>
      </c>
      <c r="AA27" s="194">
        <f>Tableau4[[#This Row],[AF 3 par appareil ($)]]/Tableau4[[#This Row],[Surcoût par appareil ($)]]</f>
        <v>0.707536900770671</v>
      </c>
      <c r="AB27" s="194">
        <f>Tableau4[[#This Row],[Couverture 3 (%)]]*Tableau4[[#This Row],[Nombres appareils installés]]</f>
        <v>0.707536900770671</v>
      </c>
      <c r="AC27" s="189">
        <f>($AC$4+$AD$4*(Tableau4[[#This Row],[Capacité (BTU)]]/1000))*Tableau4[[#This Row],[Nombres appareils installés]]</f>
        <v>2800</v>
      </c>
      <c r="AD27" s="189">
        <f>Tableau4[[#This Row],[AF 4 ($)]]/Tableau4[[#This Row],[Nombres appareils installés]]</f>
        <v>2800</v>
      </c>
      <c r="AE27" s="195">
        <f>Tableau4[[#This Row],[Couverture 4 (%)]]*Tableau4[[#This Row],[Nombres appareils installés]]</f>
        <v>0.60957025297165501</v>
      </c>
      <c r="AF27" s="194">
        <f>Tableau4[[#This Row],[AF 4 par appareil  ($)]]/Tableau4[[#This Row],[Surcoût par appareil ($)]]</f>
        <v>0.60957025297165501</v>
      </c>
    </row>
    <row r="28" spans="2:32" x14ac:dyDescent="0.3">
      <c r="B28" s="188" t="s">
        <v>205</v>
      </c>
      <c r="C28" s="189" t="s">
        <v>222</v>
      </c>
      <c r="D28" s="189">
        <v>1</v>
      </c>
      <c r="E28" s="189">
        <v>155000</v>
      </c>
      <c r="F28" s="190">
        <f>Tableau4[[#This Row],[Economies totales (m3)]]/Tableau4[[#This Row],[Nombres appareils installés]]</f>
        <v>1068</v>
      </c>
      <c r="G28" s="191">
        <v>1068</v>
      </c>
      <c r="H28" s="189">
        <f t="shared" si="0"/>
        <v>2238.65</v>
      </c>
      <c r="I28" s="189">
        <v>2400</v>
      </c>
      <c r="J28" s="189">
        <f>Tableau4[[#This Row],[Surcoût moyens de l''équipement ($)]]+Tableau4[[#This Row],[Surcoût moyen de l''installation ($)]]</f>
        <v>4638.6499999999996</v>
      </c>
      <c r="K28" s="189">
        <f>Tableau4[[#This Row],[Surcoût par appareil ($)]]*Tableau4[[#This Row],[Nombres appareils installés]]</f>
        <v>4638.6499999999996</v>
      </c>
      <c r="L28" s="191">
        <v>1700</v>
      </c>
      <c r="M28" s="189">
        <f t="shared" si="1"/>
        <v>1675</v>
      </c>
      <c r="N28" s="189">
        <f>Tableau4[[#This Row],[AF 0 ($)]]/Tableau4[[#This Row],[Nombres appareils installés]]</f>
        <v>1675</v>
      </c>
      <c r="O28" s="192">
        <f>(Tableau4[[#This Row],[AF accordée ($)]])/($J$6*D28)</f>
        <v>0.42463905680171854</v>
      </c>
      <c r="P28" s="192">
        <f>Tableau4[[#This Row],[Couverture 0 (%)]]*Tableau4[[#This Row],[Nombres appareils installés]]</f>
        <v>0.42463905680171854</v>
      </c>
      <c r="Q28" s="189">
        <f>($Q$4+$R$4*(Tableau4[[#This Row],[Capacité (BTU)]]/1000))*Tableau4[[#This Row],[Nombres appareils installés]]</f>
        <v>2775</v>
      </c>
      <c r="R28" s="189">
        <f>Tableau4[[#This Row],[AF 1 ($)]]/Tableau4[[#This Row],[Nombres appareils installés]]</f>
        <v>2775</v>
      </c>
      <c r="S28" s="192">
        <f>Tableau4[[#This Row],[AF 1 ($)]]/(J28*D28)</f>
        <v>0.59823440009485518</v>
      </c>
      <c r="T28" s="192">
        <f>Tableau4[[#This Row],[Couverture 1 (%)]]*Tableau4[[#This Row],[Nombres appareils installés]]</f>
        <v>0.59823440009485518</v>
      </c>
      <c r="U28" s="189">
        <f>($U$4+($V$4*(Tableau4[[#This Row],[Capacité (BTU)]]/1000)))*Tableau4[[#This Row],[Nombres appareils installés]]</f>
        <v>3162.5</v>
      </c>
      <c r="V28" s="189">
        <f>Tableau4[[#This Row],[AF 2 ($)]]/Tableau4[[#This Row],[Nombres appareils installés]]</f>
        <v>3162.5</v>
      </c>
      <c r="W28" s="193">
        <f>Tableau4[[#This Row],[AF 2 par appareil ($)]]/Tableau4[[#This Row],[Surcoût par appareil ($)]]</f>
        <v>0.68177163614413683</v>
      </c>
      <c r="X28" s="193">
        <f>Tableau4[[#This Row],[Couverture 2 (%)]]*Tableau4[[#This Row],[Nombres appareils installés]]</f>
        <v>0.68177163614413683</v>
      </c>
      <c r="Y28" s="189">
        <f>($Y$4+$Z$4*(Tableau4[[#This Row],[Capacité (BTU)]]/1000))*Tableau4[[#This Row],[Nombres appareils installés]]</f>
        <v>3275</v>
      </c>
      <c r="Z28" s="189">
        <f>Tableau4[[#This Row],[AF 3 ($)]]/Tableau4[[#This Row],[Nombres appareils installés]]</f>
        <v>3275</v>
      </c>
      <c r="AA28" s="194">
        <f>Tableau4[[#This Row],[AF 3 par appareil ($)]]/Tableau4[[#This Row],[Surcoût par appareil ($)]]</f>
        <v>0.70602438209392826</v>
      </c>
      <c r="AB28" s="194">
        <f>Tableau4[[#This Row],[Couverture 3 (%)]]*Tableau4[[#This Row],[Nombres appareils installés]]</f>
        <v>0.70602438209392826</v>
      </c>
      <c r="AC28" s="189">
        <f>($AC$4+$AD$4*(Tableau4[[#This Row],[Capacité (BTU)]]/1000))*Tableau4[[#This Row],[Nombres appareils installés]]</f>
        <v>2820</v>
      </c>
      <c r="AD28" s="189">
        <f>Tableau4[[#This Row],[AF 4 ($)]]/Tableau4[[#This Row],[Nombres appareils installés]]</f>
        <v>2820</v>
      </c>
      <c r="AE28" s="195">
        <f>Tableau4[[#This Row],[Couverture 4 (%)]]*Tableau4[[#This Row],[Nombres appareils installés]]</f>
        <v>0.6079354984747718</v>
      </c>
      <c r="AF28" s="194">
        <f>Tableau4[[#This Row],[AF 4 par appareil  ($)]]/Tableau4[[#This Row],[Surcoût par appareil ($)]]</f>
        <v>0.6079354984747718</v>
      </c>
    </row>
    <row r="29" spans="2:32" x14ac:dyDescent="0.3">
      <c r="B29" s="188" t="s">
        <v>205</v>
      </c>
      <c r="C29" s="189" t="s">
        <v>223</v>
      </c>
      <c r="D29" s="189">
        <v>2</v>
      </c>
      <c r="E29" s="189">
        <v>155000</v>
      </c>
      <c r="F29" s="190">
        <f>Tableau4[[#This Row],[Economies totales (m3)]]/Tableau4[[#This Row],[Nombres appareils installés]]</f>
        <v>1068</v>
      </c>
      <c r="G29" s="191">
        <v>2136</v>
      </c>
      <c r="H29" s="189">
        <f t="shared" si="0"/>
        <v>2238.65</v>
      </c>
      <c r="I29" s="189">
        <v>2400</v>
      </c>
      <c r="J29" s="189">
        <f>Tableau4[[#This Row],[Surcoût moyens de l''équipement ($)]]+Tableau4[[#This Row],[Surcoût moyen de l''installation ($)]]</f>
        <v>4638.6499999999996</v>
      </c>
      <c r="K29" s="189">
        <f>Tableau4[[#This Row],[Surcoût par appareil ($)]]*Tableau4[[#This Row],[Nombres appareils installés]]</f>
        <v>9277.2999999999993</v>
      </c>
      <c r="L29" s="191">
        <v>3400</v>
      </c>
      <c r="M29" s="189">
        <f t="shared" si="1"/>
        <v>3350</v>
      </c>
      <c r="N29" s="189">
        <f>Tableau4[[#This Row],[AF 0 ($)]]/Tableau4[[#This Row],[Nombres appareils installés]]</f>
        <v>1675</v>
      </c>
      <c r="O29" s="192">
        <f>(Tableau4[[#This Row],[AF accordée ($)]])/($J$6*D29)</f>
        <v>0.42463905680171854</v>
      </c>
      <c r="P29" s="192">
        <f>Tableau4[[#This Row],[Couverture 0 (%)]]*Tableau4[[#This Row],[Nombres appareils installés]]</f>
        <v>0.84927811360343708</v>
      </c>
      <c r="Q29" s="189">
        <f>($Q$4+$R$4*(Tableau4[[#This Row],[Capacité (BTU)]]/1000))*Tableau4[[#This Row],[Nombres appareils installés]]</f>
        <v>5550</v>
      </c>
      <c r="R29" s="189">
        <f>Tableau4[[#This Row],[AF 1 ($)]]/Tableau4[[#This Row],[Nombres appareils installés]]</f>
        <v>2775</v>
      </c>
      <c r="S29" s="192">
        <f>Tableau4[[#This Row],[AF 1 ($)]]/(J29*D29)</f>
        <v>0.59823440009485518</v>
      </c>
      <c r="T29" s="192">
        <f>Tableau4[[#This Row],[Couverture 1 (%)]]*Tableau4[[#This Row],[Nombres appareils installés]]</f>
        <v>1.1964688001897104</v>
      </c>
      <c r="U29" s="189">
        <f>($U$4+($V$4*(Tableau4[[#This Row],[Capacité (BTU)]]/1000)))*Tableau4[[#This Row],[Nombres appareils installés]]</f>
        <v>6325</v>
      </c>
      <c r="V29" s="189">
        <f>Tableau4[[#This Row],[AF 2 ($)]]/Tableau4[[#This Row],[Nombres appareils installés]]</f>
        <v>3162.5</v>
      </c>
      <c r="W29" s="193">
        <f>Tableau4[[#This Row],[AF 2 par appareil ($)]]/Tableau4[[#This Row],[Surcoût par appareil ($)]]</f>
        <v>0.68177163614413683</v>
      </c>
      <c r="X29" s="193">
        <f>Tableau4[[#This Row],[Couverture 2 (%)]]*Tableau4[[#This Row],[Nombres appareils installés]]</f>
        <v>1.3635432722882737</v>
      </c>
      <c r="Y29" s="189">
        <f>($Y$4+$Z$4*(Tableau4[[#This Row],[Capacité (BTU)]]/1000))*Tableau4[[#This Row],[Nombres appareils installés]]</f>
        <v>6550</v>
      </c>
      <c r="Z29" s="189">
        <f>Tableau4[[#This Row],[AF 3 ($)]]/Tableau4[[#This Row],[Nombres appareils installés]]</f>
        <v>3275</v>
      </c>
      <c r="AA29" s="194">
        <f>Tableau4[[#This Row],[AF 3 par appareil ($)]]/Tableau4[[#This Row],[Surcoût par appareil ($)]]</f>
        <v>0.70602438209392826</v>
      </c>
      <c r="AB29" s="194">
        <f>Tableau4[[#This Row],[Couverture 3 (%)]]*Tableau4[[#This Row],[Nombres appareils installés]]</f>
        <v>1.4120487641878565</v>
      </c>
      <c r="AC29" s="189">
        <f>($AC$4+$AD$4*(Tableau4[[#This Row],[Capacité (BTU)]]/1000))*Tableau4[[#This Row],[Nombres appareils installés]]</f>
        <v>5640</v>
      </c>
      <c r="AD29" s="189">
        <f>Tableau4[[#This Row],[AF 4 ($)]]/Tableau4[[#This Row],[Nombres appareils installés]]</f>
        <v>2820</v>
      </c>
      <c r="AE29" s="195">
        <f>Tableau4[[#This Row],[Couverture 4 (%)]]*Tableau4[[#This Row],[Nombres appareils installés]]</f>
        <v>1.2158709969495436</v>
      </c>
      <c r="AF29" s="194">
        <f>Tableau4[[#This Row],[AF 4 par appareil  ($)]]/Tableau4[[#This Row],[Surcoût par appareil ($)]]</f>
        <v>0.6079354984747718</v>
      </c>
    </row>
    <row r="30" spans="2:32" x14ac:dyDescent="0.3">
      <c r="B30" s="188" t="s">
        <v>205</v>
      </c>
      <c r="C30" s="189" t="s">
        <v>224</v>
      </c>
      <c r="D30" s="189">
        <v>1</v>
      </c>
      <c r="E30" s="189">
        <v>180000</v>
      </c>
      <c r="F30" s="190">
        <f>Tableau4[[#This Row],[Economies totales (m3)]]/Tableau4[[#This Row],[Nombres appareils installés]]</f>
        <v>1068</v>
      </c>
      <c r="G30" s="191">
        <v>1068</v>
      </c>
      <c r="H30" s="189">
        <f t="shared" si="0"/>
        <v>2487.4</v>
      </c>
      <c r="I30" s="189">
        <v>2400</v>
      </c>
      <c r="J30" s="189">
        <f>Tableau4[[#This Row],[Surcoût moyens de l''équipement ($)]]+Tableau4[[#This Row],[Surcoût moyen de l''installation ($)]]</f>
        <v>4887.3999999999996</v>
      </c>
      <c r="K30" s="189">
        <f>Tableau4[[#This Row],[Surcoût par appareil ($)]]*Tableau4[[#This Row],[Nombres appareils installés]]</f>
        <v>4887.3999999999996</v>
      </c>
      <c r="L30" s="191">
        <v>1700</v>
      </c>
      <c r="M30" s="189">
        <f t="shared" si="1"/>
        <v>1800</v>
      </c>
      <c r="N30" s="189">
        <f>Tableau4[[#This Row],[AF 0 ($)]]/Tableau4[[#This Row],[Nombres appareils installés]]</f>
        <v>1800</v>
      </c>
      <c r="O30" s="192">
        <f>(Tableau4[[#This Row],[AF accordée ($)]])/($J$6*D30)</f>
        <v>0.42463905680171854</v>
      </c>
      <c r="P30" s="192">
        <f>Tableau4[[#This Row],[Couverture 0 (%)]]*Tableau4[[#This Row],[Nombres appareils installés]]</f>
        <v>0.42463905680171854</v>
      </c>
      <c r="Q30" s="189">
        <f>($Q$4+$R$4*(Tableau4[[#This Row],[Capacité (BTU)]]/1000))*Tableau4[[#This Row],[Nombres appareils installés]]</f>
        <v>2900</v>
      </c>
      <c r="R30" s="189">
        <f>Tableau4[[#This Row],[AF 1 ($)]]/Tableau4[[#This Row],[Nombres appareils installés]]</f>
        <v>2900</v>
      </c>
      <c r="S30" s="192">
        <f>Tableau4[[#This Row],[AF 1 ($)]]/(J30*D30)</f>
        <v>0.59336252404141265</v>
      </c>
      <c r="T30" s="192">
        <f>Tableau4[[#This Row],[Couverture 1 (%)]]*Tableau4[[#This Row],[Nombres appareils installés]]</f>
        <v>0.59336252404141265</v>
      </c>
      <c r="U30" s="189">
        <f>($U$4+($V$4*(Tableau4[[#This Row],[Capacité (BTU)]]/1000)))*Tableau4[[#This Row],[Nombres appareils installés]]</f>
        <v>3350</v>
      </c>
      <c r="V30" s="189">
        <f>Tableau4[[#This Row],[AF 2 ($)]]/Tableau4[[#This Row],[Nombres appareils installés]]</f>
        <v>3350</v>
      </c>
      <c r="W30" s="193">
        <f>Tableau4[[#This Row],[AF 2 par appareil ($)]]/Tableau4[[#This Row],[Surcoût par appareil ($)]]</f>
        <v>0.68543601915128705</v>
      </c>
      <c r="X30" s="193">
        <f>Tableau4[[#This Row],[Couverture 2 (%)]]*Tableau4[[#This Row],[Nombres appareils installés]]</f>
        <v>0.68543601915128705</v>
      </c>
      <c r="Y30" s="189">
        <f>($Y$4+$Z$4*(Tableau4[[#This Row],[Capacité (BTU)]]/1000))*Tableau4[[#This Row],[Nombres appareils installés]]</f>
        <v>3400</v>
      </c>
      <c r="Z30" s="189">
        <f>Tableau4[[#This Row],[AF 3 ($)]]/Tableau4[[#This Row],[Nombres appareils installés]]</f>
        <v>3400</v>
      </c>
      <c r="AA30" s="194">
        <f>Tableau4[[#This Row],[AF 3 par appareil ($)]]/Tableau4[[#This Row],[Surcoût par appareil ($)]]</f>
        <v>0.69566640749682862</v>
      </c>
      <c r="AB30" s="194">
        <f>Tableau4[[#This Row],[Couverture 3 (%)]]*Tableau4[[#This Row],[Nombres appareils installés]]</f>
        <v>0.69566640749682862</v>
      </c>
      <c r="AC30" s="189">
        <f>($AC$4+$AD$4*(Tableau4[[#This Row],[Capacité (BTU)]]/1000))*Tableau4[[#This Row],[Nombres appareils installés]]</f>
        <v>2920</v>
      </c>
      <c r="AD30" s="189">
        <f>Tableau4[[#This Row],[AF 4 ($)]]/Tableau4[[#This Row],[Nombres appareils installés]]</f>
        <v>2920</v>
      </c>
      <c r="AE30" s="195">
        <f>Tableau4[[#This Row],[Couverture 4 (%)]]*Tableau4[[#This Row],[Nombres appareils installés]]</f>
        <v>0.59745467937962926</v>
      </c>
      <c r="AF30" s="194">
        <f>Tableau4[[#This Row],[AF 4 par appareil  ($)]]/Tableau4[[#This Row],[Surcoût par appareil ($)]]</f>
        <v>0.59745467937962926</v>
      </c>
    </row>
    <row r="31" spans="2:32" x14ac:dyDescent="0.3">
      <c r="B31" s="188" t="s">
        <v>205</v>
      </c>
      <c r="C31" s="189" t="s">
        <v>217</v>
      </c>
      <c r="D31" s="189">
        <v>1</v>
      </c>
      <c r="E31" s="189">
        <v>180000</v>
      </c>
      <c r="F31" s="190">
        <f>Tableau4[[#This Row],[Economies totales (m3)]]/Tableau4[[#This Row],[Nombres appareils installés]]</f>
        <v>1068</v>
      </c>
      <c r="G31" s="191">
        <v>1068</v>
      </c>
      <c r="H31" s="189">
        <f t="shared" si="0"/>
        <v>2487.4</v>
      </c>
      <c r="I31" s="189">
        <v>2400</v>
      </c>
      <c r="J31" s="189">
        <f>Tableau4[[#This Row],[Surcoût moyens de l''équipement ($)]]+Tableau4[[#This Row],[Surcoût moyen de l''installation ($)]]</f>
        <v>4887.3999999999996</v>
      </c>
      <c r="K31" s="189">
        <f>Tableau4[[#This Row],[Surcoût par appareil ($)]]*Tableau4[[#This Row],[Nombres appareils installés]]</f>
        <v>4887.3999999999996</v>
      </c>
      <c r="L31" s="191">
        <v>1700</v>
      </c>
      <c r="M31" s="189">
        <f t="shared" si="1"/>
        <v>1800</v>
      </c>
      <c r="N31" s="189">
        <f>Tableau4[[#This Row],[AF 0 ($)]]/Tableau4[[#This Row],[Nombres appareils installés]]</f>
        <v>1800</v>
      </c>
      <c r="O31" s="192">
        <f>(Tableau4[[#This Row],[AF accordée ($)]])/($J$6*D31)</f>
        <v>0.42463905680171854</v>
      </c>
      <c r="P31" s="192">
        <f>Tableau4[[#This Row],[Couverture 0 (%)]]*Tableau4[[#This Row],[Nombres appareils installés]]</f>
        <v>0.42463905680171854</v>
      </c>
      <c r="Q31" s="189">
        <f>($Q$4+$R$4*(Tableau4[[#This Row],[Capacité (BTU)]]/1000))*Tableau4[[#This Row],[Nombres appareils installés]]</f>
        <v>2900</v>
      </c>
      <c r="R31" s="189">
        <f>Tableau4[[#This Row],[AF 1 ($)]]/Tableau4[[#This Row],[Nombres appareils installés]]</f>
        <v>2900</v>
      </c>
      <c r="S31" s="192">
        <f>Tableau4[[#This Row],[AF 1 ($)]]/(J31*D31)</f>
        <v>0.59336252404141265</v>
      </c>
      <c r="T31" s="192">
        <f>Tableau4[[#This Row],[Couverture 1 (%)]]*Tableau4[[#This Row],[Nombres appareils installés]]</f>
        <v>0.59336252404141265</v>
      </c>
      <c r="U31" s="189">
        <f>($U$4+($V$4*(Tableau4[[#This Row],[Capacité (BTU)]]/1000)))*Tableau4[[#This Row],[Nombres appareils installés]]</f>
        <v>3350</v>
      </c>
      <c r="V31" s="189">
        <f>Tableau4[[#This Row],[AF 2 ($)]]/Tableau4[[#This Row],[Nombres appareils installés]]</f>
        <v>3350</v>
      </c>
      <c r="W31" s="193">
        <f>Tableau4[[#This Row],[AF 2 par appareil ($)]]/Tableau4[[#This Row],[Surcoût par appareil ($)]]</f>
        <v>0.68543601915128705</v>
      </c>
      <c r="X31" s="193">
        <f>Tableau4[[#This Row],[Couverture 2 (%)]]*Tableau4[[#This Row],[Nombres appareils installés]]</f>
        <v>0.68543601915128705</v>
      </c>
      <c r="Y31" s="189">
        <f>($Y$4+$Z$4*(Tableau4[[#This Row],[Capacité (BTU)]]/1000))*Tableau4[[#This Row],[Nombres appareils installés]]</f>
        <v>3400</v>
      </c>
      <c r="Z31" s="189">
        <f>Tableau4[[#This Row],[AF 3 ($)]]/Tableau4[[#This Row],[Nombres appareils installés]]</f>
        <v>3400</v>
      </c>
      <c r="AA31" s="194">
        <f>Tableau4[[#This Row],[AF 3 par appareil ($)]]/Tableau4[[#This Row],[Surcoût par appareil ($)]]</f>
        <v>0.69566640749682862</v>
      </c>
      <c r="AB31" s="194">
        <f>Tableau4[[#This Row],[Couverture 3 (%)]]*Tableau4[[#This Row],[Nombres appareils installés]]</f>
        <v>0.69566640749682862</v>
      </c>
      <c r="AC31" s="189">
        <f>($AC$4+$AD$4*(Tableau4[[#This Row],[Capacité (BTU)]]/1000))*Tableau4[[#This Row],[Nombres appareils installés]]</f>
        <v>2920</v>
      </c>
      <c r="AD31" s="189">
        <f>Tableau4[[#This Row],[AF 4 ($)]]/Tableau4[[#This Row],[Nombres appareils installés]]</f>
        <v>2920</v>
      </c>
      <c r="AE31" s="195">
        <f>Tableau4[[#This Row],[Couverture 4 (%)]]*Tableau4[[#This Row],[Nombres appareils installés]]</f>
        <v>0.59745467937962926</v>
      </c>
      <c r="AF31" s="194">
        <f>Tableau4[[#This Row],[AF 4 par appareil  ($)]]/Tableau4[[#This Row],[Surcoût par appareil ($)]]</f>
        <v>0.59745467937962926</v>
      </c>
    </row>
    <row r="32" spans="2:32" x14ac:dyDescent="0.3">
      <c r="B32" s="188" t="s">
        <v>205</v>
      </c>
      <c r="C32" s="189" t="s">
        <v>216</v>
      </c>
      <c r="D32" s="189">
        <v>1</v>
      </c>
      <c r="E32" s="189">
        <v>180000</v>
      </c>
      <c r="F32" s="190">
        <f>Tableau4[[#This Row],[Economies totales (m3)]]/Tableau4[[#This Row],[Nombres appareils installés]]</f>
        <v>1068</v>
      </c>
      <c r="G32" s="191">
        <v>1068</v>
      </c>
      <c r="H32" s="189">
        <f t="shared" si="0"/>
        <v>2487.4</v>
      </c>
      <c r="I32" s="189">
        <v>2400</v>
      </c>
      <c r="J32" s="189">
        <f>Tableau4[[#This Row],[Surcoût moyens de l''équipement ($)]]+Tableau4[[#This Row],[Surcoût moyen de l''installation ($)]]</f>
        <v>4887.3999999999996</v>
      </c>
      <c r="K32" s="189">
        <f>Tableau4[[#This Row],[Surcoût par appareil ($)]]*Tableau4[[#This Row],[Nombres appareils installés]]</f>
        <v>4887.3999999999996</v>
      </c>
      <c r="L32" s="191">
        <v>1700</v>
      </c>
      <c r="M32" s="189">
        <f t="shared" si="1"/>
        <v>1800</v>
      </c>
      <c r="N32" s="189">
        <f>Tableau4[[#This Row],[AF 0 ($)]]/Tableau4[[#This Row],[Nombres appareils installés]]</f>
        <v>1800</v>
      </c>
      <c r="O32" s="192">
        <f>(Tableau4[[#This Row],[AF accordée ($)]])/($J$6*D32)</f>
        <v>0.42463905680171854</v>
      </c>
      <c r="P32" s="192">
        <f>Tableau4[[#This Row],[Couverture 0 (%)]]*Tableau4[[#This Row],[Nombres appareils installés]]</f>
        <v>0.42463905680171854</v>
      </c>
      <c r="Q32" s="189">
        <f>($Q$4+$R$4*(Tableau4[[#This Row],[Capacité (BTU)]]/1000))*Tableau4[[#This Row],[Nombres appareils installés]]</f>
        <v>2900</v>
      </c>
      <c r="R32" s="189">
        <f>Tableau4[[#This Row],[AF 1 ($)]]/Tableau4[[#This Row],[Nombres appareils installés]]</f>
        <v>2900</v>
      </c>
      <c r="S32" s="192">
        <f>Tableau4[[#This Row],[AF 1 ($)]]/(J32*D32)</f>
        <v>0.59336252404141265</v>
      </c>
      <c r="T32" s="192">
        <f>Tableau4[[#This Row],[Couverture 1 (%)]]*Tableau4[[#This Row],[Nombres appareils installés]]</f>
        <v>0.59336252404141265</v>
      </c>
      <c r="U32" s="189">
        <f>($U$4+($V$4*(Tableau4[[#This Row],[Capacité (BTU)]]/1000)))*Tableau4[[#This Row],[Nombres appareils installés]]</f>
        <v>3350</v>
      </c>
      <c r="V32" s="189">
        <f>Tableau4[[#This Row],[AF 2 ($)]]/Tableau4[[#This Row],[Nombres appareils installés]]</f>
        <v>3350</v>
      </c>
      <c r="W32" s="193">
        <f>Tableau4[[#This Row],[AF 2 par appareil ($)]]/Tableau4[[#This Row],[Surcoût par appareil ($)]]</f>
        <v>0.68543601915128705</v>
      </c>
      <c r="X32" s="193">
        <f>Tableau4[[#This Row],[Couverture 2 (%)]]*Tableau4[[#This Row],[Nombres appareils installés]]</f>
        <v>0.68543601915128705</v>
      </c>
      <c r="Y32" s="189">
        <f>($Y$4+$Z$4*(Tableau4[[#This Row],[Capacité (BTU)]]/1000))*Tableau4[[#This Row],[Nombres appareils installés]]</f>
        <v>3400</v>
      </c>
      <c r="Z32" s="189">
        <f>Tableau4[[#This Row],[AF 3 ($)]]/Tableau4[[#This Row],[Nombres appareils installés]]</f>
        <v>3400</v>
      </c>
      <c r="AA32" s="194">
        <f>Tableau4[[#This Row],[AF 3 par appareil ($)]]/Tableau4[[#This Row],[Surcoût par appareil ($)]]</f>
        <v>0.69566640749682862</v>
      </c>
      <c r="AB32" s="194">
        <f>Tableau4[[#This Row],[Couverture 3 (%)]]*Tableau4[[#This Row],[Nombres appareils installés]]</f>
        <v>0.69566640749682862</v>
      </c>
      <c r="AC32" s="189">
        <f>($AC$4+$AD$4*(Tableau4[[#This Row],[Capacité (BTU)]]/1000))*Tableau4[[#This Row],[Nombres appareils installés]]</f>
        <v>2920</v>
      </c>
      <c r="AD32" s="189">
        <f>Tableau4[[#This Row],[AF 4 ($)]]/Tableau4[[#This Row],[Nombres appareils installés]]</f>
        <v>2920</v>
      </c>
      <c r="AE32" s="195">
        <f>Tableau4[[#This Row],[Couverture 4 (%)]]*Tableau4[[#This Row],[Nombres appareils installés]]</f>
        <v>0.59745467937962926</v>
      </c>
      <c r="AF32" s="194">
        <f>Tableau4[[#This Row],[AF 4 par appareil  ($)]]/Tableau4[[#This Row],[Surcoût par appareil ($)]]</f>
        <v>0.59745467937962926</v>
      </c>
    </row>
    <row r="33" spans="2:32" x14ac:dyDescent="0.3">
      <c r="B33" s="188" t="s">
        <v>205</v>
      </c>
      <c r="C33" s="189" t="s">
        <v>216</v>
      </c>
      <c r="D33" s="189">
        <v>1</v>
      </c>
      <c r="E33" s="189">
        <v>180000</v>
      </c>
      <c r="F33" s="190">
        <f>Tableau4[[#This Row],[Economies totales (m3)]]/Tableau4[[#This Row],[Nombres appareils installés]]</f>
        <v>1068</v>
      </c>
      <c r="G33" s="191">
        <v>1068</v>
      </c>
      <c r="H33" s="189">
        <f t="shared" si="0"/>
        <v>2487.4</v>
      </c>
      <c r="I33" s="189">
        <v>2400</v>
      </c>
      <c r="J33" s="189">
        <f>Tableau4[[#This Row],[Surcoût moyens de l''équipement ($)]]+Tableau4[[#This Row],[Surcoût moyen de l''installation ($)]]</f>
        <v>4887.3999999999996</v>
      </c>
      <c r="K33" s="189">
        <f>Tableau4[[#This Row],[Surcoût par appareil ($)]]*Tableau4[[#This Row],[Nombres appareils installés]]</f>
        <v>4887.3999999999996</v>
      </c>
      <c r="L33" s="191">
        <v>1700</v>
      </c>
      <c r="M33" s="189">
        <f t="shared" si="1"/>
        <v>1800</v>
      </c>
      <c r="N33" s="189">
        <f>Tableau4[[#This Row],[AF 0 ($)]]/Tableau4[[#This Row],[Nombres appareils installés]]</f>
        <v>1800</v>
      </c>
      <c r="O33" s="192">
        <f>(Tableau4[[#This Row],[AF accordée ($)]])/($J$6*D33)</f>
        <v>0.42463905680171854</v>
      </c>
      <c r="P33" s="192">
        <f>Tableau4[[#This Row],[Couverture 0 (%)]]*Tableau4[[#This Row],[Nombres appareils installés]]</f>
        <v>0.42463905680171854</v>
      </c>
      <c r="Q33" s="189">
        <f>($Q$4+$R$4*(Tableau4[[#This Row],[Capacité (BTU)]]/1000))*Tableau4[[#This Row],[Nombres appareils installés]]</f>
        <v>2900</v>
      </c>
      <c r="R33" s="189">
        <f>Tableau4[[#This Row],[AF 1 ($)]]/Tableau4[[#This Row],[Nombres appareils installés]]</f>
        <v>2900</v>
      </c>
      <c r="S33" s="192">
        <f>Tableau4[[#This Row],[AF 1 ($)]]/(J33*D33)</f>
        <v>0.59336252404141265</v>
      </c>
      <c r="T33" s="192">
        <f>Tableau4[[#This Row],[Couverture 1 (%)]]*Tableau4[[#This Row],[Nombres appareils installés]]</f>
        <v>0.59336252404141265</v>
      </c>
      <c r="U33" s="189">
        <f>($U$4+($V$4*(Tableau4[[#This Row],[Capacité (BTU)]]/1000)))*Tableau4[[#This Row],[Nombres appareils installés]]</f>
        <v>3350</v>
      </c>
      <c r="V33" s="189">
        <f>Tableau4[[#This Row],[AF 2 ($)]]/Tableau4[[#This Row],[Nombres appareils installés]]</f>
        <v>3350</v>
      </c>
      <c r="W33" s="193">
        <f>Tableau4[[#This Row],[AF 2 par appareil ($)]]/Tableau4[[#This Row],[Surcoût par appareil ($)]]</f>
        <v>0.68543601915128705</v>
      </c>
      <c r="X33" s="193">
        <f>Tableau4[[#This Row],[Couverture 2 (%)]]*Tableau4[[#This Row],[Nombres appareils installés]]</f>
        <v>0.68543601915128705</v>
      </c>
      <c r="Y33" s="189">
        <f>($Y$4+$Z$4*(Tableau4[[#This Row],[Capacité (BTU)]]/1000))*Tableau4[[#This Row],[Nombres appareils installés]]</f>
        <v>3400</v>
      </c>
      <c r="Z33" s="189">
        <f>Tableau4[[#This Row],[AF 3 ($)]]/Tableau4[[#This Row],[Nombres appareils installés]]</f>
        <v>3400</v>
      </c>
      <c r="AA33" s="194">
        <f>Tableau4[[#This Row],[AF 3 par appareil ($)]]/Tableau4[[#This Row],[Surcoût par appareil ($)]]</f>
        <v>0.69566640749682862</v>
      </c>
      <c r="AB33" s="194">
        <f>Tableau4[[#This Row],[Couverture 3 (%)]]*Tableau4[[#This Row],[Nombres appareils installés]]</f>
        <v>0.69566640749682862</v>
      </c>
      <c r="AC33" s="189">
        <f>($AC$4+$AD$4*(Tableau4[[#This Row],[Capacité (BTU)]]/1000))*Tableau4[[#This Row],[Nombres appareils installés]]</f>
        <v>2920</v>
      </c>
      <c r="AD33" s="189">
        <f>Tableau4[[#This Row],[AF 4 ($)]]/Tableau4[[#This Row],[Nombres appareils installés]]</f>
        <v>2920</v>
      </c>
      <c r="AE33" s="195">
        <f>Tableau4[[#This Row],[Couverture 4 (%)]]*Tableau4[[#This Row],[Nombres appareils installés]]</f>
        <v>0.59745467937962926</v>
      </c>
      <c r="AF33" s="194">
        <f>Tableau4[[#This Row],[AF 4 par appareil  ($)]]/Tableau4[[#This Row],[Surcoût par appareil ($)]]</f>
        <v>0.59745467937962926</v>
      </c>
    </row>
    <row r="34" spans="2:32" x14ac:dyDescent="0.3">
      <c r="B34" s="188" t="s">
        <v>205</v>
      </c>
      <c r="C34" s="189" t="s">
        <v>216</v>
      </c>
      <c r="D34" s="189">
        <v>1</v>
      </c>
      <c r="E34" s="189">
        <v>180000</v>
      </c>
      <c r="F34" s="190">
        <f>Tableau4[[#This Row],[Economies totales (m3)]]/Tableau4[[#This Row],[Nombres appareils installés]]</f>
        <v>1068</v>
      </c>
      <c r="G34" s="191">
        <v>1068</v>
      </c>
      <c r="H34" s="189">
        <f t="shared" si="0"/>
        <v>2487.4</v>
      </c>
      <c r="I34" s="189">
        <v>2400</v>
      </c>
      <c r="J34" s="189">
        <f>Tableau4[[#This Row],[Surcoût moyens de l''équipement ($)]]+Tableau4[[#This Row],[Surcoût moyen de l''installation ($)]]</f>
        <v>4887.3999999999996</v>
      </c>
      <c r="K34" s="189">
        <f>Tableau4[[#This Row],[Surcoût par appareil ($)]]*Tableau4[[#This Row],[Nombres appareils installés]]</f>
        <v>4887.3999999999996</v>
      </c>
      <c r="L34" s="191">
        <v>1700</v>
      </c>
      <c r="M34" s="189">
        <f t="shared" si="1"/>
        <v>1800</v>
      </c>
      <c r="N34" s="189">
        <f>Tableau4[[#This Row],[AF 0 ($)]]/Tableau4[[#This Row],[Nombres appareils installés]]</f>
        <v>1800</v>
      </c>
      <c r="O34" s="192">
        <f>(Tableau4[[#This Row],[AF accordée ($)]])/($J$6*D34)</f>
        <v>0.42463905680171854</v>
      </c>
      <c r="P34" s="192">
        <f>Tableau4[[#This Row],[Couverture 0 (%)]]*Tableau4[[#This Row],[Nombres appareils installés]]</f>
        <v>0.42463905680171854</v>
      </c>
      <c r="Q34" s="189">
        <f>($Q$4+$R$4*(Tableau4[[#This Row],[Capacité (BTU)]]/1000))*Tableau4[[#This Row],[Nombres appareils installés]]</f>
        <v>2900</v>
      </c>
      <c r="R34" s="189">
        <f>Tableau4[[#This Row],[AF 1 ($)]]/Tableau4[[#This Row],[Nombres appareils installés]]</f>
        <v>2900</v>
      </c>
      <c r="S34" s="192">
        <f>Tableau4[[#This Row],[AF 1 ($)]]/(J34*D34)</f>
        <v>0.59336252404141265</v>
      </c>
      <c r="T34" s="192">
        <f>Tableau4[[#This Row],[Couverture 1 (%)]]*Tableau4[[#This Row],[Nombres appareils installés]]</f>
        <v>0.59336252404141265</v>
      </c>
      <c r="U34" s="189">
        <f>($U$4+($V$4*(Tableau4[[#This Row],[Capacité (BTU)]]/1000)))*Tableau4[[#This Row],[Nombres appareils installés]]</f>
        <v>3350</v>
      </c>
      <c r="V34" s="189">
        <f>Tableau4[[#This Row],[AF 2 ($)]]/Tableau4[[#This Row],[Nombres appareils installés]]</f>
        <v>3350</v>
      </c>
      <c r="W34" s="193">
        <f>Tableau4[[#This Row],[AF 2 par appareil ($)]]/Tableau4[[#This Row],[Surcoût par appareil ($)]]</f>
        <v>0.68543601915128705</v>
      </c>
      <c r="X34" s="193">
        <f>Tableau4[[#This Row],[Couverture 2 (%)]]*Tableau4[[#This Row],[Nombres appareils installés]]</f>
        <v>0.68543601915128705</v>
      </c>
      <c r="Y34" s="189">
        <f>($Y$4+$Z$4*(Tableau4[[#This Row],[Capacité (BTU)]]/1000))*Tableau4[[#This Row],[Nombres appareils installés]]</f>
        <v>3400</v>
      </c>
      <c r="Z34" s="189">
        <f>Tableau4[[#This Row],[AF 3 ($)]]/Tableau4[[#This Row],[Nombres appareils installés]]</f>
        <v>3400</v>
      </c>
      <c r="AA34" s="194">
        <f>Tableau4[[#This Row],[AF 3 par appareil ($)]]/Tableau4[[#This Row],[Surcoût par appareil ($)]]</f>
        <v>0.69566640749682862</v>
      </c>
      <c r="AB34" s="194">
        <f>Tableau4[[#This Row],[Couverture 3 (%)]]*Tableau4[[#This Row],[Nombres appareils installés]]</f>
        <v>0.69566640749682862</v>
      </c>
      <c r="AC34" s="189">
        <f>($AC$4+$AD$4*(Tableau4[[#This Row],[Capacité (BTU)]]/1000))*Tableau4[[#This Row],[Nombres appareils installés]]</f>
        <v>2920</v>
      </c>
      <c r="AD34" s="189">
        <f>Tableau4[[#This Row],[AF 4 ($)]]/Tableau4[[#This Row],[Nombres appareils installés]]</f>
        <v>2920</v>
      </c>
      <c r="AE34" s="195">
        <f>Tableau4[[#This Row],[Couverture 4 (%)]]*Tableau4[[#This Row],[Nombres appareils installés]]</f>
        <v>0.59745467937962926</v>
      </c>
      <c r="AF34" s="194">
        <f>Tableau4[[#This Row],[AF 4 par appareil  ($)]]/Tableau4[[#This Row],[Surcoût par appareil ($)]]</f>
        <v>0.59745467937962926</v>
      </c>
    </row>
    <row r="35" spans="2:32" x14ac:dyDescent="0.3">
      <c r="B35" s="188" t="s">
        <v>205</v>
      </c>
      <c r="C35" s="189" t="s">
        <v>216</v>
      </c>
      <c r="D35" s="189">
        <v>1</v>
      </c>
      <c r="E35" s="189">
        <v>180000</v>
      </c>
      <c r="F35" s="190">
        <f>Tableau4[[#This Row],[Economies totales (m3)]]/Tableau4[[#This Row],[Nombres appareils installés]]</f>
        <v>1068</v>
      </c>
      <c r="G35" s="191">
        <v>1068</v>
      </c>
      <c r="H35" s="189">
        <f t="shared" si="0"/>
        <v>2487.4</v>
      </c>
      <c r="I35" s="189">
        <v>2400</v>
      </c>
      <c r="J35" s="189">
        <f>Tableau4[[#This Row],[Surcoût moyens de l''équipement ($)]]+Tableau4[[#This Row],[Surcoût moyen de l''installation ($)]]</f>
        <v>4887.3999999999996</v>
      </c>
      <c r="K35" s="189">
        <f>Tableau4[[#This Row],[Surcoût par appareil ($)]]*Tableau4[[#This Row],[Nombres appareils installés]]</f>
        <v>4887.3999999999996</v>
      </c>
      <c r="L35" s="191">
        <v>1700</v>
      </c>
      <c r="M35" s="189">
        <f t="shared" si="1"/>
        <v>1800</v>
      </c>
      <c r="N35" s="189">
        <f>Tableau4[[#This Row],[AF 0 ($)]]/Tableau4[[#This Row],[Nombres appareils installés]]</f>
        <v>1800</v>
      </c>
      <c r="O35" s="192">
        <f>(Tableau4[[#This Row],[AF accordée ($)]])/($J$6*D35)</f>
        <v>0.42463905680171854</v>
      </c>
      <c r="P35" s="192">
        <f>Tableau4[[#This Row],[Couverture 0 (%)]]*Tableau4[[#This Row],[Nombres appareils installés]]</f>
        <v>0.42463905680171854</v>
      </c>
      <c r="Q35" s="189">
        <f>($Q$4+$R$4*(Tableau4[[#This Row],[Capacité (BTU)]]/1000))*Tableau4[[#This Row],[Nombres appareils installés]]</f>
        <v>2900</v>
      </c>
      <c r="R35" s="189">
        <f>Tableau4[[#This Row],[AF 1 ($)]]/Tableau4[[#This Row],[Nombres appareils installés]]</f>
        <v>2900</v>
      </c>
      <c r="S35" s="192">
        <f>Tableau4[[#This Row],[AF 1 ($)]]/(J35*D35)</f>
        <v>0.59336252404141265</v>
      </c>
      <c r="T35" s="192">
        <f>Tableau4[[#This Row],[Couverture 1 (%)]]*Tableau4[[#This Row],[Nombres appareils installés]]</f>
        <v>0.59336252404141265</v>
      </c>
      <c r="U35" s="189">
        <f>($U$4+($V$4*(Tableau4[[#This Row],[Capacité (BTU)]]/1000)))*Tableau4[[#This Row],[Nombres appareils installés]]</f>
        <v>3350</v>
      </c>
      <c r="V35" s="189">
        <f>Tableau4[[#This Row],[AF 2 ($)]]/Tableau4[[#This Row],[Nombres appareils installés]]</f>
        <v>3350</v>
      </c>
      <c r="W35" s="193">
        <f>Tableau4[[#This Row],[AF 2 par appareil ($)]]/Tableau4[[#This Row],[Surcoût par appareil ($)]]</f>
        <v>0.68543601915128705</v>
      </c>
      <c r="X35" s="193">
        <f>Tableau4[[#This Row],[Couverture 2 (%)]]*Tableau4[[#This Row],[Nombres appareils installés]]</f>
        <v>0.68543601915128705</v>
      </c>
      <c r="Y35" s="189">
        <f>($Y$4+$Z$4*(Tableau4[[#This Row],[Capacité (BTU)]]/1000))*Tableau4[[#This Row],[Nombres appareils installés]]</f>
        <v>3400</v>
      </c>
      <c r="Z35" s="189">
        <f>Tableau4[[#This Row],[AF 3 ($)]]/Tableau4[[#This Row],[Nombres appareils installés]]</f>
        <v>3400</v>
      </c>
      <c r="AA35" s="194">
        <f>Tableau4[[#This Row],[AF 3 par appareil ($)]]/Tableau4[[#This Row],[Surcoût par appareil ($)]]</f>
        <v>0.69566640749682862</v>
      </c>
      <c r="AB35" s="194">
        <f>Tableau4[[#This Row],[Couverture 3 (%)]]*Tableau4[[#This Row],[Nombres appareils installés]]</f>
        <v>0.69566640749682862</v>
      </c>
      <c r="AC35" s="189">
        <f>($AC$4+$AD$4*(Tableau4[[#This Row],[Capacité (BTU)]]/1000))*Tableau4[[#This Row],[Nombres appareils installés]]</f>
        <v>2920</v>
      </c>
      <c r="AD35" s="189">
        <f>Tableau4[[#This Row],[AF 4 ($)]]/Tableau4[[#This Row],[Nombres appareils installés]]</f>
        <v>2920</v>
      </c>
      <c r="AE35" s="195">
        <f>Tableau4[[#This Row],[Couverture 4 (%)]]*Tableau4[[#This Row],[Nombres appareils installés]]</f>
        <v>0.59745467937962926</v>
      </c>
      <c r="AF35" s="194">
        <f>Tableau4[[#This Row],[AF 4 par appareil  ($)]]/Tableau4[[#This Row],[Surcoût par appareil ($)]]</f>
        <v>0.59745467937962926</v>
      </c>
    </row>
    <row r="36" spans="2:32" x14ac:dyDescent="0.3">
      <c r="B36" s="188" t="s">
        <v>205</v>
      </c>
      <c r="C36" s="189" t="s">
        <v>225</v>
      </c>
      <c r="D36" s="189">
        <v>2</v>
      </c>
      <c r="E36" s="189">
        <v>180000</v>
      </c>
      <c r="F36" s="190">
        <f>Tableau4[[#This Row],[Economies totales (m3)]]/Tableau4[[#This Row],[Nombres appareils installés]]</f>
        <v>1068</v>
      </c>
      <c r="G36" s="191">
        <v>2136</v>
      </c>
      <c r="H36" s="189">
        <f t="shared" si="0"/>
        <v>2487.4</v>
      </c>
      <c r="I36" s="189">
        <v>2400</v>
      </c>
      <c r="J36" s="189">
        <f>Tableau4[[#This Row],[Surcoût moyens de l''équipement ($)]]+Tableau4[[#This Row],[Surcoût moyen de l''installation ($)]]</f>
        <v>4887.3999999999996</v>
      </c>
      <c r="K36" s="189">
        <f>Tableau4[[#This Row],[Surcoût par appareil ($)]]*Tableau4[[#This Row],[Nombres appareils installés]]</f>
        <v>9774.7999999999993</v>
      </c>
      <c r="L36" s="191">
        <v>3400</v>
      </c>
      <c r="M36" s="189">
        <f t="shared" si="1"/>
        <v>3600</v>
      </c>
      <c r="N36" s="189">
        <f>Tableau4[[#This Row],[AF 0 ($)]]/Tableau4[[#This Row],[Nombres appareils installés]]</f>
        <v>1800</v>
      </c>
      <c r="O36" s="192">
        <f>(Tableau4[[#This Row],[AF accordée ($)]])/($J$6*D36)</f>
        <v>0.42463905680171854</v>
      </c>
      <c r="P36" s="192">
        <f>Tableau4[[#This Row],[Couverture 0 (%)]]*Tableau4[[#This Row],[Nombres appareils installés]]</f>
        <v>0.84927811360343708</v>
      </c>
      <c r="Q36" s="189">
        <f>($Q$4+$R$4*(Tableau4[[#This Row],[Capacité (BTU)]]/1000))*Tableau4[[#This Row],[Nombres appareils installés]]</f>
        <v>5800</v>
      </c>
      <c r="R36" s="189">
        <f>Tableau4[[#This Row],[AF 1 ($)]]/Tableau4[[#This Row],[Nombres appareils installés]]</f>
        <v>2900</v>
      </c>
      <c r="S36" s="192">
        <f>Tableau4[[#This Row],[AF 1 ($)]]/(J36*D36)</f>
        <v>0.59336252404141265</v>
      </c>
      <c r="T36" s="192">
        <f>Tableau4[[#This Row],[Couverture 1 (%)]]*Tableau4[[#This Row],[Nombres appareils installés]]</f>
        <v>1.1867250480828253</v>
      </c>
      <c r="U36" s="189">
        <f>($U$4+($V$4*(Tableau4[[#This Row],[Capacité (BTU)]]/1000)))*Tableau4[[#This Row],[Nombres appareils installés]]</f>
        <v>6700</v>
      </c>
      <c r="V36" s="189">
        <f>Tableau4[[#This Row],[AF 2 ($)]]/Tableau4[[#This Row],[Nombres appareils installés]]</f>
        <v>3350</v>
      </c>
      <c r="W36" s="193">
        <f>Tableau4[[#This Row],[AF 2 par appareil ($)]]/Tableau4[[#This Row],[Surcoût par appareil ($)]]</f>
        <v>0.68543601915128705</v>
      </c>
      <c r="X36" s="193">
        <f>Tableau4[[#This Row],[Couverture 2 (%)]]*Tableau4[[#This Row],[Nombres appareils installés]]</f>
        <v>1.3708720383025741</v>
      </c>
      <c r="Y36" s="189">
        <f>($Y$4+$Z$4*(Tableau4[[#This Row],[Capacité (BTU)]]/1000))*Tableau4[[#This Row],[Nombres appareils installés]]</f>
        <v>6800</v>
      </c>
      <c r="Z36" s="189">
        <f>Tableau4[[#This Row],[AF 3 ($)]]/Tableau4[[#This Row],[Nombres appareils installés]]</f>
        <v>3400</v>
      </c>
      <c r="AA36" s="194">
        <f>Tableau4[[#This Row],[AF 3 par appareil ($)]]/Tableau4[[#This Row],[Surcoût par appareil ($)]]</f>
        <v>0.69566640749682862</v>
      </c>
      <c r="AB36" s="194">
        <f>Tableau4[[#This Row],[Couverture 3 (%)]]*Tableau4[[#This Row],[Nombres appareils installés]]</f>
        <v>1.3913328149936572</v>
      </c>
      <c r="AC36" s="189">
        <f>($AC$4+$AD$4*(Tableau4[[#This Row],[Capacité (BTU)]]/1000))*Tableau4[[#This Row],[Nombres appareils installés]]</f>
        <v>5840</v>
      </c>
      <c r="AD36" s="189">
        <f>Tableau4[[#This Row],[AF 4 ($)]]/Tableau4[[#This Row],[Nombres appareils installés]]</f>
        <v>2920</v>
      </c>
      <c r="AE36" s="195">
        <f>Tableau4[[#This Row],[Couverture 4 (%)]]*Tableau4[[#This Row],[Nombres appareils installés]]</f>
        <v>1.1949093587592585</v>
      </c>
      <c r="AF36" s="194">
        <f>Tableau4[[#This Row],[AF 4 par appareil  ($)]]/Tableau4[[#This Row],[Surcoût par appareil ($)]]</f>
        <v>0.59745467937962926</v>
      </c>
    </row>
    <row r="37" spans="2:32" x14ac:dyDescent="0.3">
      <c r="B37" s="188" t="s">
        <v>205</v>
      </c>
      <c r="C37" s="189" t="s">
        <v>226</v>
      </c>
      <c r="D37" s="189">
        <v>2</v>
      </c>
      <c r="E37" s="189">
        <v>180000</v>
      </c>
      <c r="F37" s="190">
        <f>Tableau4[[#This Row],[Economies totales (m3)]]/Tableau4[[#This Row],[Nombres appareils installés]]</f>
        <v>1068</v>
      </c>
      <c r="G37" s="191">
        <v>2136</v>
      </c>
      <c r="H37" s="189">
        <f t="shared" si="0"/>
        <v>2487.4</v>
      </c>
      <c r="I37" s="189">
        <v>2400</v>
      </c>
      <c r="J37" s="189">
        <f>Tableau4[[#This Row],[Surcoût moyens de l''équipement ($)]]+Tableau4[[#This Row],[Surcoût moyen de l''installation ($)]]</f>
        <v>4887.3999999999996</v>
      </c>
      <c r="K37" s="189">
        <f>Tableau4[[#This Row],[Surcoût par appareil ($)]]*Tableau4[[#This Row],[Nombres appareils installés]]</f>
        <v>9774.7999999999993</v>
      </c>
      <c r="L37" s="191">
        <v>3400</v>
      </c>
      <c r="M37" s="189">
        <f t="shared" si="1"/>
        <v>3600</v>
      </c>
      <c r="N37" s="189">
        <f>Tableau4[[#This Row],[AF 0 ($)]]/Tableau4[[#This Row],[Nombres appareils installés]]</f>
        <v>1800</v>
      </c>
      <c r="O37" s="192">
        <f>(Tableau4[[#This Row],[AF accordée ($)]])/($J$6*D37)</f>
        <v>0.42463905680171854</v>
      </c>
      <c r="P37" s="192">
        <f>Tableau4[[#This Row],[Couverture 0 (%)]]*Tableau4[[#This Row],[Nombres appareils installés]]</f>
        <v>0.84927811360343708</v>
      </c>
      <c r="Q37" s="189">
        <f>($Q$4+$R$4*(Tableau4[[#This Row],[Capacité (BTU)]]/1000))*Tableau4[[#This Row],[Nombres appareils installés]]</f>
        <v>5800</v>
      </c>
      <c r="R37" s="189">
        <f>Tableau4[[#This Row],[AF 1 ($)]]/Tableau4[[#This Row],[Nombres appareils installés]]</f>
        <v>2900</v>
      </c>
      <c r="S37" s="192">
        <f>Tableau4[[#This Row],[AF 1 ($)]]/(J37*D37)</f>
        <v>0.59336252404141265</v>
      </c>
      <c r="T37" s="192">
        <f>Tableau4[[#This Row],[Couverture 1 (%)]]*Tableau4[[#This Row],[Nombres appareils installés]]</f>
        <v>1.1867250480828253</v>
      </c>
      <c r="U37" s="189">
        <f>($U$4+($V$4*(Tableau4[[#This Row],[Capacité (BTU)]]/1000)))*Tableau4[[#This Row],[Nombres appareils installés]]</f>
        <v>6700</v>
      </c>
      <c r="V37" s="189">
        <f>Tableau4[[#This Row],[AF 2 ($)]]/Tableau4[[#This Row],[Nombres appareils installés]]</f>
        <v>3350</v>
      </c>
      <c r="W37" s="193">
        <f>Tableau4[[#This Row],[AF 2 par appareil ($)]]/Tableau4[[#This Row],[Surcoût par appareil ($)]]</f>
        <v>0.68543601915128705</v>
      </c>
      <c r="X37" s="193">
        <f>Tableau4[[#This Row],[Couverture 2 (%)]]*Tableau4[[#This Row],[Nombres appareils installés]]</f>
        <v>1.3708720383025741</v>
      </c>
      <c r="Y37" s="189">
        <f>($Y$4+$Z$4*(Tableau4[[#This Row],[Capacité (BTU)]]/1000))*Tableau4[[#This Row],[Nombres appareils installés]]</f>
        <v>6800</v>
      </c>
      <c r="Z37" s="189">
        <f>Tableau4[[#This Row],[AF 3 ($)]]/Tableau4[[#This Row],[Nombres appareils installés]]</f>
        <v>3400</v>
      </c>
      <c r="AA37" s="194">
        <f>Tableau4[[#This Row],[AF 3 par appareil ($)]]/Tableau4[[#This Row],[Surcoût par appareil ($)]]</f>
        <v>0.69566640749682862</v>
      </c>
      <c r="AB37" s="194">
        <f>Tableau4[[#This Row],[Couverture 3 (%)]]*Tableau4[[#This Row],[Nombres appareils installés]]</f>
        <v>1.3913328149936572</v>
      </c>
      <c r="AC37" s="189">
        <f>($AC$4+$AD$4*(Tableau4[[#This Row],[Capacité (BTU)]]/1000))*Tableau4[[#This Row],[Nombres appareils installés]]</f>
        <v>5840</v>
      </c>
      <c r="AD37" s="189">
        <f>Tableau4[[#This Row],[AF 4 ($)]]/Tableau4[[#This Row],[Nombres appareils installés]]</f>
        <v>2920</v>
      </c>
      <c r="AE37" s="195">
        <f>Tableau4[[#This Row],[Couverture 4 (%)]]*Tableau4[[#This Row],[Nombres appareils installés]]</f>
        <v>1.1949093587592585</v>
      </c>
      <c r="AF37" s="194">
        <f>Tableau4[[#This Row],[AF 4 par appareil  ($)]]/Tableau4[[#This Row],[Surcoût par appareil ($)]]</f>
        <v>0.59745467937962926</v>
      </c>
    </row>
    <row r="38" spans="2:32" x14ac:dyDescent="0.3">
      <c r="B38" s="188" t="s">
        <v>205</v>
      </c>
      <c r="C38" s="189" t="s">
        <v>227</v>
      </c>
      <c r="D38" s="189">
        <v>2</v>
      </c>
      <c r="E38" s="189">
        <v>180000</v>
      </c>
      <c r="F38" s="190">
        <f>Tableau4[[#This Row],[Economies totales (m3)]]/Tableau4[[#This Row],[Nombres appareils installés]]</f>
        <v>1068</v>
      </c>
      <c r="G38" s="191">
        <v>2136</v>
      </c>
      <c r="H38" s="189">
        <f t="shared" si="0"/>
        <v>2487.4</v>
      </c>
      <c r="I38" s="189">
        <v>2400</v>
      </c>
      <c r="J38" s="189">
        <f>Tableau4[[#This Row],[Surcoût moyens de l''équipement ($)]]+Tableau4[[#This Row],[Surcoût moyen de l''installation ($)]]</f>
        <v>4887.3999999999996</v>
      </c>
      <c r="K38" s="189">
        <f>Tableau4[[#This Row],[Surcoût par appareil ($)]]*Tableau4[[#This Row],[Nombres appareils installés]]</f>
        <v>9774.7999999999993</v>
      </c>
      <c r="L38" s="191">
        <v>3400</v>
      </c>
      <c r="M38" s="189">
        <f t="shared" si="1"/>
        <v>3600</v>
      </c>
      <c r="N38" s="189">
        <f>Tableau4[[#This Row],[AF 0 ($)]]/Tableau4[[#This Row],[Nombres appareils installés]]</f>
        <v>1800</v>
      </c>
      <c r="O38" s="192">
        <f>(Tableau4[[#This Row],[AF accordée ($)]])/($J$6*D38)</f>
        <v>0.42463905680171854</v>
      </c>
      <c r="P38" s="192">
        <f>Tableau4[[#This Row],[Couverture 0 (%)]]*Tableau4[[#This Row],[Nombres appareils installés]]</f>
        <v>0.84927811360343708</v>
      </c>
      <c r="Q38" s="189">
        <f>($Q$4+$R$4*(Tableau4[[#This Row],[Capacité (BTU)]]/1000))*Tableau4[[#This Row],[Nombres appareils installés]]</f>
        <v>5800</v>
      </c>
      <c r="R38" s="189">
        <f>Tableau4[[#This Row],[AF 1 ($)]]/Tableau4[[#This Row],[Nombres appareils installés]]</f>
        <v>2900</v>
      </c>
      <c r="S38" s="192">
        <f>Tableau4[[#This Row],[AF 1 ($)]]/(J38*D38)</f>
        <v>0.59336252404141265</v>
      </c>
      <c r="T38" s="192">
        <f>Tableau4[[#This Row],[Couverture 1 (%)]]*Tableau4[[#This Row],[Nombres appareils installés]]</f>
        <v>1.1867250480828253</v>
      </c>
      <c r="U38" s="189">
        <f>($U$4+($V$4*(Tableau4[[#This Row],[Capacité (BTU)]]/1000)))*Tableau4[[#This Row],[Nombres appareils installés]]</f>
        <v>6700</v>
      </c>
      <c r="V38" s="189">
        <f>Tableau4[[#This Row],[AF 2 ($)]]/Tableau4[[#This Row],[Nombres appareils installés]]</f>
        <v>3350</v>
      </c>
      <c r="W38" s="193">
        <f>Tableau4[[#This Row],[AF 2 par appareil ($)]]/Tableau4[[#This Row],[Surcoût par appareil ($)]]</f>
        <v>0.68543601915128705</v>
      </c>
      <c r="X38" s="193">
        <f>Tableau4[[#This Row],[Couverture 2 (%)]]*Tableau4[[#This Row],[Nombres appareils installés]]</f>
        <v>1.3708720383025741</v>
      </c>
      <c r="Y38" s="189">
        <f>($Y$4+$Z$4*(Tableau4[[#This Row],[Capacité (BTU)]]/1000))*Tableau4[[#This Row],[Nombres appareils installés]]</f>
        <v>6800</v>
      </c>
      <c r="Z38" s="189">
        <f>Tableau4[[#This Row],[AF 3 ($)]]/Tableau4[[#This Row],[Nombres appareils installés]]</f>
        <v>3400</v>
      </c>
      <c r="AA38" s="194">
        <f>Tableau4[[#This Row],[AF 3 par appareil ($)]]/Tableau4[[#This Row],[Surcoût par appareil ($)]]</f>
        <v>0.69566640749682862</v>
      </c>
      <c r="AB38" s="194">
        <f>Tableau4[[#This Row],[Couverture 3 (%)]]*Tableau4[[#This Row],[Nombres appareils installés]]</f>
        <v>1.3913328149936572</v>
      </c>
      <c r="AC38" s="189">
        <f>($AC$4+$AD$4*(Tableau4[[#This Row],[Capacité (BTU)]]/1000))*Tableau4[[#This Row],[Nombres appareils installés]]</f>
        <v>5840</v>
      </c>
      <c r="AD38" s="189">
        <f>Tableau4[[#This Row],[AF 4 ($)]]/Tableau4[[#This Row],[Nombres appareils installés]]</f>
        <v>2920</v>
      </c>
      <c r="AE38" s="195">
        <f>Tableau4[[#This Row],[Couverture 4 (%)]]*Tableau4[[#This Row],[Nombres appareils installés]]</f>
        <v>1.1949093587592585</v>
      </c>
      <c r="AF38" s="194">
        <f>Tableau4[[#This Row],[AF 4 par appareil  ($)]]/Tableau4[[#This Row],[Surcoût par appareil ($)]]</f>
        <v>0.59745467937962926</v>
      </c>
    </row>
    <row r="39" spans="2:32" x14ac:dyDescent="0.3">
      <c r="B39" s="188" t="s">
        <v>205</v>
      </c>
      <c r="C39" s="189" t="s">
        <v>216</v>
      </c>
      <c r="D39" s="189">
        <v>2</v>
      </c>
      <c r="E39" s="189">
        <v>180000</v>
      </c>
      <c r="F39" s="190">
        <f>Tableau4[[#This Row],[Economies totales (m3)]]/Tableau4[[#This Row],[Nombres appareils installés]]</f>
        <v>1068</v>
      </c>
      <c r="G39" s="191">
        <v>2136</v>
      </c>
      <c r="H39" s="189">
        <f t="shared" si="0"/>
        <v>2487.4</v>
      </c>
      <c r="I39" s="189">
        <v>2400</v>
      </c>
      <c r="J39" s="189">
        <f>Tableau4[[#This Row],[Surcoût moyens de l''équipement ($)]]+Tableau4[[#This Row],[Surcoût moyen de l''installation ($)]]</f>
        <v>4887.3999999999996</v>
      </c>
      <c r="K39" s="189">
        <f>Tableau4[[#This Row],[Surcoût par appareil ($)]]*Tableau4[[#This Row],[Nombres appareils installés]]</f>
        <v>9774.7999999999993</v>
      </c>
      <c r="L39" s="191">
        <v>3400</v>
      </c>
      <c r="M39" s="189">
        <f t="shared" si="1"/>
        <v>3600</v>
      </c>
      <c r="N39" s="189">
        <f>Tableau4[[#This Row],[AF 0 ($)]]/Tableau4[[#This Row],[Nombres appareils installés]]</f>
        <v>1800</v>
      </c>
      <c r="O39" s="192">
        <f>(Tableau4[[#This Row],[AF accordée ($)]])/($J$6*D39)</f>
        <v>0.42463905680171854</v>
      </c>
      <c r="P39" s="192">
        <f>Tableau4[[#This Row],[Couverture 0 (%)]]*Tableau4[[#This Row],[Nombres appareils installés]]</f>
        <v>0.84927811360343708</v>
      </c>
      <c r="Q39" s="189">
        <f>($Q$4+$R$4*(Tableau4[[#This Row],[Capacité (BTU)]]/1000))*Tableau4[[#This Row],[Nombres appareils installés]]</f>
        <v>5800</v>
      </c>
      <c r="R39" s="189">
        <f>Tableau4[[#This Row],[AF 1 ($)]]/Tableau4[[#This Row],[Nombres appareils installés]]</f>
        <v>2900</v>
      </c>
      <c r="S39" s="192">
        <f>Tableau4[[#This Row],[AF 1 ($)]]/(J39*D39)</f>
        <v>0.59336252404141265</v>
      </c>
      <c r="T39" s="192">
        <f>Tableau4[[#This Row],[Couverture 1 (%)]]*Tableau4[[#This Row],[Nombres appareils installés]]</f>
        <v>1.1867250480828253</v>
      </c>
      <c r="U39" s="189">
        <f>($U$4+($V$4*(Tableau4[[#This Row],[Capacité (BTU)]]/1000)))*Tableau4[[#This Row],[Nombres appareils installés]]</f>
        <v>6700</v>
      </c>
      <c r="V39" s="189">
        <f>Tableau4[[#This Row],[AF 2 ($)]]/Tableau4[[#This Row],[Nombres appareils installés]]</f>
        <v>3350</v>
      </c>
      <c r="W39" s="193">
        <f>Tableau4[[#This Row],[AF 2 par appareil ($)]]/Tableau4[[#This Row],[Surcoût par appareil ($)]]</f>
        <v>0.68543601915128705</v>
      </c>
      <c r="X39" s="193">
        <f>Tableau4[[#This Row],[Couverture 2 (%)]]*Tableau4[[#This Row],[Nombres appareils installés]]</f>
        <v>1.3708720383025741</v>
      </c>
      <c r="Y39" s="189">
        <f>($Y$4+$Z$4*(Tableau4[[#This Row],[Capacité (BTU)]]/1000))*Tableau4[[#This Row],[Nombres appareils installés]]</f>
        <v>6800</v>
      </c>
      <c r="Z39" s="189">
        <f>Tableau4[[#This Row],[AF 3 ($)]]/Tableau4[[#This Row],[Nombres appareils installés]]</f>
        <v>3400</v>
      </c>
      <c r="AA39" s="194">
        <f>Tableau4[[#This Row],[AF 3 par appareil ($)]]/Tableau4[[#This Row],[Surcoût par appareil ($)]]</f>
        <v>0.69566640749682862</v>
      </c>
      <c r="AB39" s="194">
        <f>Tableau4[[#This Row],[Couverture 3 (%)]]*Tableau4[[#This Row],[Nombres appareils installés]]</f>
        <v>1.3913328149936572</v>
      </c>
      <c r="AC39" s="189">
        <f>($AC$4+$AD$4*(Tableau4[[#This Row],[Capacité (BTU)]]/1000))*Tableau4[[#This Row],[Nombres appareils installés]]</f>
        <v>5840</v>
      </c>
      <c r="AD39" s="189">
        <f>Tableau4[[#This Row],[AF 4 ($)]]/Tableau4[[#This Row],[Nombres appareils installés]]</f>
        <v>2920</v>
      </c>
      <c r="AE39" s="195">
        <f>Tableau4[[#This Row],[Couverture 4 (%)]]*Tableau4[[#This Row],[Nombres appareils installés]]</f>
        <v>1.1949093587592585</v>
      </c>
      <c r="AF39" s="194">
        <f>Tableau4[[#This Row],[AF 4 par appareil  ($)]]/Tableau4[[#This Row],[Surcoût par appareil ($)]]</f>
        <v>0.59745467937962926</v>
      </c>
    </row>
    <row r="40" spans="2:32" x14ac:dyDescent="0.3">
      <c r="B40" s="188" t="s">
        <v>205</v>
      </c>
      <c r="C40" s="189" t="s">
        <v>218</v>
      </c>
      <c r="D40" s="189">
        <v>3</v>
      </c>
      <c r="E40" s="189">
        <v>180000</v>
      </c>
      <c r="F40" s="190">
        <f>Tableau4[[#This Row],[Economies totales (m3)]]/Tableau4[[#This Row],[Nombres appareils installés]]</f>
        <v>1068</v>
      </c>
      <c r="G40" s="191">
        <v>3204</v>
      </c>
      <c r="H40" s="189">
        <f t="shared" si="0"/>
        <v>2487.4</v>
      </c>
      <c r="I40" s="189">
        <v>2400</v>
      </c>
      <c r="J40" s="189">
        <f>Tableau4[[#This Row],[Surcoût moyens de l''équipement ($)]]+Tableau4[[#This Row],[Surcoût moyen de l''installation ($)]]</f>
        <v>4887.3999999999996</v>
      </c>
      <c r="K40" s="189">
        <f>Tableau4[[#This Row],[Surcoût par appareil ($)]]*Tableau4[[#This Row],[Nombres appareils installés]]</f>
        <v>14662.199999999999</v>
      </c>
      <c r="L40" s="191">
        <v>5100</v>
      </c>
      <c r="M40" s="189">
        <f t="shared" si="1"/>
        <v>5400</v>
      </c>
      <c r="N40" s="189">
        <f>Tableau4[[#This Row],[AF 0 ($)]]/Tableau4[[#This Row],[Nombres appareils installés]]</f>
        <v>1800</v>
      </c>
      <c r="O40" s="192">
        <f>(Tableau4[[#This Row],[AF accordée ($)]])/($J$6*D40)</f>
        <v>0.42463905680171854</v>
      </c>
      <c r="P40" s="192">
        <f>Tableau4[[#This Row],[Couverture 0 (%)]]*Tableau4[[#This Row],[Nombres appareils installés]]</f>
        <v>1.2739171704051557</v>
      </c>
      <c r="Q40" s="189">
        <f>($Q$4+$R$4*(Tableau4[[#This Row],[Capacité (BTU)]]/1000))*Tableau4[[#This Row],[Nombres appareils installés]]</f>
        <v>8700</v>
      </c>
      <c r="R40" s="189">
        <f>Tableau4[[#This Row],[AF 1 ($)]]/Tableau4[[#This Row],[Nombres appareils installés]]</f>
        <v>2900</v>
      </c>
      <c r="S40" s="192">
        <f>Tableau4[[#This Row],[AF 1 ($)]]/(J40*D40)</f>
        <v>0.59336252404141265</v>
      </c>
      <c r="T40" s="192">
        <f>Tableau4[[#This Row],[Couverture 1 (%)]]*Tableau4[[#This Row],[Nombres appareils installés]]</f>
        <v>1.780087572124238</v>
      </c>
      <c r="U40" s="189">
        <f>($U$4+($V$4*(Tableau4[[#This Row],[Capacité (BTU)]]/1000)))*Tableau4[[#This Row],[Nombres appareils installés]]</f>
        <v>10050</v>
      </c>
      <c r="V40" s="189">
        <f>Tableau4[[#This Row],[AF 2 ($)]]/Tableau4[[#This Row],[Nombres appareils installés]]</f>
        <v>3350</v>
      </c>
      <c r="W40" s="193">
        <f>Tableau4[[#This Row],[AF 2 par appareil ($)]]/Tableau4[[#This Row],[Surcoût par appareil ($)]]</f>
        <v>0.68543601915128705</v>
      </c>
      <c r="X40" s="193">
        <f>Tableau4[[#This Row],[Couverture 2 (%)]]*Tableau4[[#This Row],[Nombres appareils installés]]</f>
        <v>2.0563080574538612</v>
      </c>
      <c r="Y40" s="189">
        <f>($Y$4+$Z$4*(Tableau4[[#This Row],[Capacité (BTU)]]/1000))*Tableau4[[#This Row],[Nombres appareils installés]]</f>
        <v>10200</v>
      </c>
      <c r="Z40" s="189">
        <f>Tableau4[[#This Row],[AF 3 ($)]]/Tableau4[[#This Row],[Nombres appareils installés]]</f>
        <v>3400</v>
      </c>
      <c r="AA40" s="194">
        <f>Tableau4[[#This Row],[AF 3 par appareil ($)]]/Tableau4[[#This Row],[Surcoût par appareil ($)]]</f>
        <v>0.69566640749682862</v>
      </c>
      <c r="AB40" s="194">
        <f>Tableau4[[#This Row],[Couverture 3 (%)]]*Tableau4[[#This Row],[Nombres appareils installés]]</f>
        <v>2.0869992224904861</v>
      </c>
      <c r="AC40" s="189">
        <f>($AC$4+$AD$4*(Tableau4[[#This Row],[Capacité (BTU)]]/1000))*Tableau4[[#This Row],[Nombres appareils installés]]</f>
        <v>8760</v>
      </c>
      <c r="AD40" s="189">
        <f>Tableau4[[#This Row],[AF 4 ($)]]/Tableau4[[#This Row],[Nombres appareils installés]]</f>
        <v>2920</v>
      </c>
      <c r="AE40" s="195">
        <f>Tableau4[[#This Row],[Couverture 4 (%)]]*Tableau4[[#This Row],[Nombres appareils installés]]</f>
        <v>1.7923640381388877</v>
      </c>
      <c r="AF40" s="194">
        <f>Tableau4[[#This Row],[AF 4 par appareil  ($)]]/Tableau4[[#This Row],[Surcoût par appareil ($)]]</f>
        <v>0.59745467937962926</v>
      </c>
    </row>
    <row r="41" spans="2:32" x14ac:dyDescent="0.3">
      <c r="B41" s="188" t="s">
        <v>205</v>
      </c>
      <c r="C41" s="189" t="s">
        <v>228</v>
      </c>
      <c r="D41" s="189">
        <v>7</v>
      </c>
      <c r="E41" s="189">
        <v>180000</v>
      </c>
      <c r="F41" s="190">
        <f>Tableau4[[#This Row],[Economies totales (m3)]]/Tableau4[[#This Row],[Nombres appareils installés]]</f>
        <v>1068</v>
      </c>
      <c r="G41" s="191">
        <v>7476</v>
      </c>
      <c r="H41" s="189">
        <f t="shared" si="0"/>
        <v>2487.4</v>
      </c>
      <c r="I41" s="189">
        <v>2400</v>
      </c>
      <c r="J41" s="189">
        <f>Tableau4[[#This Row],[Surcoût moyens de l''équipement ($)]]+Tableau4[[#This Row],[Surcoût moyen de l''installation ($)]]</f>
        <v>4887.3999999999996</v>
      </c>
      <c r="K41" s="189">
        <f>Tableau4[[#This Row],[Surcoût par appareil ($)]]*Tableau4[[#This Row],[Nombres appareils installés]]</f>
        <v>34211.799999999996</v>
      </c>
      <c r="L41" s="191">
        <v>11900</v>
      </c>
      <c r="M41" s="189">
        <f t="shared" si="1"/>
        <v>12600</v>
      </c>
      <c r="N41" s="189">
        <f>Tableau4[[#This Row],[AF 0 ($)]]/Tableau4[[#This Row],[Nombres appareils installés]]</f>
        <v>1800</v>
      </c>
      <c r="O41" s="192">
        <f>(Tableau4[[#This Row],[AF accordée ($)]])/($J$6*D41)</f>
        <v>0.42463905680171854</v>
      </c>
      <c r="P41" s="192">
        <f>Tableau4[[#This Row],[Couverture 0 (%)]]*Tableau4[[#This Row],[Nombres appareils installés]]</f>
        <v>2.9724733976120299</v>
      </c>
      <c r="Q41" s="189">
        <f>($Q$4+$R$4*(Tableau4[[#This Row],[Capacité (BTU)]]/1000))*Tableau4[[#This Row],[Nombres appareils installés]]</f>
        <v>20300</v>
      </c>
      <c r="R41" s="189">
        <f>Tableau4[[#This Row],[AF 1 ($)]]/Tableau4[[#This Row],[Nombres appareils installés]]</f>
        <v>2900</v>
      </c>
      <c r="S41" s="192">
        <f>Tableau4[[#This Row],[AF 1 ($)]]/(J41*D41)</f>
        <v>0.59336252404141265</v>
      </c>
      <c r="T41" s="192">
        <f>Tableau4[[#This Row],[Couverture 1 (%)]]*Tableau4[[#This Row],[Nombres appareils installés]]</f>
        <v>4.1535376682898884</v>
      </c>
      <c r="U41" s="189">
        <f>($U$4+($V$4*(Tableau4[[#This Row],[Capacité (BTU)]]/1000)))*Tableau4[[#This Row],[Nombres appareils installés]]</f>
        <v>23450</v>
      </c>
      <c r="V41" s="189">
        <f>Tableau4[[#This Row],[AF 2 ($)]]/Tableau4[[#This Row],[Nombres appareils installés]]</f>
        <v>3350</v>
      </c>
      <c r="W41" s="193">
        <f>Tableau4[[#This Row],[AF 2 par appareil ($)]]/Tableau4[[#This Row],[Surcoût par appareil ($)]]</f>
        <v>0.68543601915128705</v>
      </c>
      <c r="X41" s="193">
        <f>Tableau4[[#This Row],[Couverture 2 (%)]]*Tableau4[[#This Row],[Nombres appareils installés]]</f>
        <v>4.7980521340590094</v>
      </c>
      <c r="Y41" s="189">
        <f>($Y$4+$Z$4*(Tableau4[[#This Row],[Capacité (BTU)]]/1000))*Tableau4[[#This Row],[Nombres appareils installés]]</f>
        <v>23800</v>
      </c>
      <c r="Z41" s="189">
        <f>Tableau4[[#This Row],[AF 3 ($)]]/Tableau4[[#This Row],[Nombres appareils installés]]</f>
        <v>3400</v>
      </c>
      <c r="AA41" s="194">
        <f>Tableau4[[#This Row],[AF 3 par appareil ($)]]/Tableau4[[#This Row],[Surcoût par appareil ($)]]</f>
        <v>0.69566640749682862</v>
      </c>
      <c r="AB41" s="194">
        <f>Tableau4[[#This Row],[Couverture 3 (%)]]*Tableau4[[#This Row],[Nombres appareils installés]]</f>
        <v>4.8696648524778006</v>
      </c>
      <c r="AC41" s="189">
        <f>($AC$4+$AD$4*(Tableau4[[#This Row],[Capacité (BTU)]]/1000))*Tableau4[[#This Row],[Nombres appareils installés]]</f>
        <v>20440</v>
      </c>
      <c r="AD41" s="189">
        <f>Tableau4[[#This Row],[AF 4 ($)]]/Tableau4[[#This Row],[Nombres appareils installés]]</f>
        <v>2920</v>
      </c>
      <c r="AE41" s="195">
        <f>Tableau4[[#This Row],[Couverture 4 (%)]]*Tableau4[[#This Row],[Nombres appareils installés]]</f>
        <v>4.1821827556574052</v>
      </c>
      <c r="AF41" s="194">
        <f>Tableau4[[#This Row],[AF 4 par appareil  ($)]]/Tableau4[[#This Row],[Surcoût par appareil ($)]]</f>
        <v>0.59745467937962926</v>
      </c>
    </row>
    <row r="42" spans="2:32" x14ac:dyDescent="0.3">
      <c r="B42" s="188" t="s">
        <v>205</v>
      </c>
      <c r="C42" s="189" t="s">
        <v>229</v>
      </c>
      <c r="D42" s="189">
        <v>1</v>
      </c>
      <c r="E42" s="189">
        <v>215000</v>
      </c>
      <c r="F42" s="190">
        <f>Tableau4[[#This Row],[Economies totales (m3)]]/Tableau4[[#This Row],[Nombres appareils installés]]</f>
        <v>1068</v>
      </c>
      <c r="G42" s="191">
        <v>1068</v>
      </c>
      <c r="H42" s="189">
        <f t="shared" si="0"/>
        <v>2898.6499999999996</v>
      </c>
      <c r="I42" s="189">
        <v>2400</v>
      </c>
      <c r="J42" s="189">
        <f>Tableau4[[#This Row],[Surcoût moyens de l''équipement ($)]]+Tableau4[[#This Row],[Surcoût moyen de l''installation ($)]]</f>
        <v>5298.65</v>
      </c>
      <c r="K42" s="189">
        <f>Tableau4[[#This Row],[Surcoût par appareil ($)]]*Tableau4[[#This Row],[Nombres appareils installés]]</f>
        <v>5298.65</v>
      </c>
      <c r="L42" s="191">
        <v>1700</v>
      </c>
      <c r="M42" s="189">
        <f t="shared" si="1"/>
        <v>1975</v>
      </c>
      <c r="N42" s="189">
        <f>Tableau4[[#This Row],[AF 0 ($)]]/Tableau4[[#This Row],[Nombres appareils installés]]</f>
        <v>1975</v>
      </c>
      <c r="O42" s="192">
        <f>(Tableau4[[#This Row],[AF accordée ($)]])/($J$6*D42)</f>
        <v>0.42463905680171854</v>
      </c>
      <c r="P42" s="192">
        <f>Tableau4[[#This Row],[Couverture 0 (%)]]*Tableau4[[#This Row],[Nombres appareils installés]]</f>
        <v>0.42463905680171854</v>
      </c>
      <c r="Q42" s="189">
        <f>($Q$4+$R$4*(Tableau4[[#This Row],[Capacité (BTU)]]/1000))*Tableau4[[#This Row],[Nombres appareils installés]]</f>
        <v>3075</v>
      </c>
      <c r="R42" s="189">
        <f>Tableau4[[#This Row],[AF 1 ($)]]/Tableau4[[#This Row],[Nombres appareils installés]]</f>
        <v>3075</v>
      </c>
      <c r="S42" s="192">
        <f>Tableau4[[#This Row],[AF 1 ($)]]/(J42*D42)</f>
        <v>0.58033650080680932</v>
      </c>
      <c r="T42" s="192">
        <f>Tableau4[[#This Row],[Couverture 1 (%)]]*Tableau4[[#This Row],[Nombres appareils installés]]</f>
        <v>0.58033650080680932</v>
      </c>
      <c r="U42" s="189">
        <f>($U$4+($V$4*(Tableau4[[#This Row],[Capacité (BTU)]]/1000)))*Tableau4[[#This Row],[Nombres appareils installés]]</f>
        <v>3612.5</v>
      </c>
      <c r="V42" s="189">
        <f>Tableau4[[#This Row],[AF 2 ($)]]/Tableau4[[#This Row],[Nombres appareils installés]]</f>
        <v>3612.5</v>
      </c>
      <c r="W42" s="193">
        <f>Tableau4[[#This Row],[AF 2 par appareil ($)]]/Tableau4[[#This Row],[Surcoût par appareil ($)]]</f>
        <v>0.68177743387466627</v>
      </c>
      <c r="X42" s="193">
        <f>Tableau4[[#This Row],[Couverture 2 (%)]]*Tableau4[[#This Row],[Nombres appareils installés]]</f>
        <v>0.68177743387466627</v>
      </c>
      <c r="Y42" s="189">
        <f>($Y$4+$Z$4*(Tableau4[[#This Row],[Capacité (BTU)]]/1000))*Tableau4[[#This Row],[Nombres appareils installés]]</f>
        <v>3575</v>
      </c>
      <c r="Z42" s="189">
        <f>Tableau4[[#This Row],[AF 3 ($)]]/Tableau4[[#This Row],[Nombres appareils installés]]</f>
        <v>3575</v>
      </c>
      <c r="AA42" s="194">
        <f>Tableau4[[#This Row],[AF 3 par appareil ($)]]/Tableau4[[#This Row],[Surcoût par appareil ($)]]</f>
        <v>0.67470015947458317</v>
      </c>
      <c r="AB42" s="194">
        <f>Tableau4[[#This Row],[Couverture 3 (%)]]*Tableau4[[#This Row],[Nombres appareils installés]]</f>
        <v>0.67470015947458317</v>
      </c>
      <c r="AC42" s="189">
        <f>($AC$4+$AD$4*(Tableau4[[#This Row],[Capacité (BTU)]]/1000))*Tableau4[[#This Row],[Nombres appareils installés]]</f>
        <v>3060</v>
      </c>
      <c r="AD42" s="189">
        <f>Tableau4[[#This Row],[AF 4 ($)]]/Tableau4[[#This Row],[Nombres appareils installés]]</f>
        <v>3060</v>
      </c>
      <c r="AE42" s="195">
        <f>Tableau4[[#This Row],[Couverture 4 (%)]]*Tableau4[[#This Row],[Nombres appareils installés]]</f>
        <v>0.57750559104677612</v>
      </c>
      <c r="AF42" s="194">
        <f>Tableau4[[#This Row],[AF 4 par appareil  ($)]]/Tableau4[[#This Row],[Surcoût par appareil ($)]]</f>
        <v>0.57750559104677612</v>
      </c>
    </row>
    <row r="43" spans="2:32" x14ac:dyDescent="0.3">
      <c r="B43" s="188" t="s">
        <v>205</v>
      </c>
      <c r="C43" s="189" t="s">
        <v>216</v>
      </c>
      <c r="D43" s="189">
        <v>1</v>
      </c>
      <c r="E43" s="189">
        <v>215000</v>
      </c>
      <c r="F43" s="190">
        <f>Tableau4[[#This Row],[Economies totales (m3)]]/Tableau4[[#This Row],[Nombres appareils installés]]</f>
        <v>1068</v>
      </c>
      <c r="G43" s="191">
        <v>1068</v>
      </c>
      <c r="H43" s="189">
        <f t="shared" si="0"/>
        <v>2898.6499999999996</v>
      </c>
      <c r="I43" s="189">
        <v>2400</v>
      </c>
      <c r="J43" s="189">
        <f>Tableau4[[#This Row],[Surcoût moyens de l''équipement ($)]]+Tableau4[[#This Row],[Surcoût moyen de l''installation ($)]]</f>
        <v>5298.65</v>
      </c>
      <c r="K43" s="189">
        <f>Tableau4[[#This Row],[Surcoût par appareil ($)]]*Tableau4[[#This Row],[Nombres appareils installés]]</f>
        <v>5298.65</v>
      </c>
      <c r="L43" s="191">
        <v>1700</v>
      </c>
      <c r="M43" s="189">
        <f t="shared" si="1"/>
        <v>1975</v>
      </c>
      <c r="N43" s="189">
        <f>Tableau4[[#This Row],[AF 0 ($)]]/Tableau4[[#This Row],[Nombres appareils installés]]</f>
        <v>1975</v>
      </c>
      <c r="O43" s="192">
        <f>(Tableau4[[#This Row],[AF accordée ($)]])/($J$6*D43)</f>
        <v>0.42463905680171854</v>
      </c>
      <c r="P43" s="192">
        <f>Tableau4[[#This Row],[Couverture 0 (%)]]*Tableau4[[#This Row],[Nombres appareils installés]]</f>
        <v>0.42463905680171854</v>
      </c>
      <c r="Q43" s="189">
        <f>($Q$4+$R$4*(Tableau4[[#This Row],[Capacité (BTU)]]/1000))*Tableau4[[#This Row],[Nombres appareils installés]]</f>
        <v>3075</v>
      </c>
      <c r="R43" s="189">
        <f>Tableau4[[#This Row],[AF 1 ($)]]/Tableau4[[#This Row],[Nombres appareils installés]]</f>
        <v>3075</v>
      </c>
      <c r="S43" s="192">
        <f>Tableau4[[#This Row],[AF 1 ($)]]/(J43*D43)</f>
        <v>0.58033650080680932</v>
      </c>
      <c r="T43" s="192">
        <f>Tableau4[[#This Row],[Couverture 1 (%)]]*Tableau4[[#This Row],[Nombres appareils installés]]</f>
        <v>0.58033650080680932</v>
      </c>
      <c r="U43" s="189">
        <f>($U$4+($V$4*(Tableau4[[#This Row],[Capacité (BTU)]]/1000)))*Tableau4[[#This Row],[Nombres appareils installés]]</f>
        <v>3612.5</v>
      </c>
      <c r="V43" s="189">
        <f>Tableau4[[#This Row],[AF 2 ($)]]/Tableau4[[#This Row],[Nombres appareils installés]]</f>
        <v>3612.5</v>
      </c>
      <c r="W43" s="193">
        <f>Tableau4[[#This Row],[AF 2 par appareil ($)]]/Tableau4[[#This Row],[Surcoût par appareil ($)]]</f>
        <v>0.68177743387466627</v>
      </c>
      <c r="X43" s="193">
        <f>Tableau4[[#This Row],[Couverture 2 (%)]]*Tableau4[[#This Row],[Nombres appareils installés]]</f>
        <v>0.68177743387466627</v>
      </c>
      <c r="Y43" s="189">
        <f>($Y$4+$Z$4*(Tableau4[[#This Row],[Capacité (BTU)]]/1000))*Tableau4[[#This Row],[Nombres appareils installés]]</f>
        <v>3575</v>
      </c>
      <c r="Z43" s="189">
        <f>Tableau4[[#This Row],[AF 3 ($)]]/Tableau4[[#This Row],[Nombres appareils installés]]</f>
        <v>3575</v>
      </c>
      <c r="AA43" s="194">
        <f>Tableau4[[#This Row],[AF 3 par appareil ($)]]/Tableau4[[#This Row],[Surcoût par appareil ($)]]</f>
        <v>0.67470015947458317</v>
      </c>
      <c r="AB43" s="194">
        <f>Tableau4[[#This Row],[Couverture 3 (%)]]*Tableau4[[#This Row],[Nombres appareils installés]]</f>
        <v>0.67470015947458317</v>
      </c>
      <c r="AC43" s="189">
        <f>($AC$4+$AD$4*(Tableau4[[#This Row],[Capacité (BTU)]]/1000))*Tableau4[[#This Row],[Nombres appareils installés]]</f>
        <v>3060</v>
      </c>
      <c r="AD43" s="189">
        <f>Tableau4[[#This Row],[AF 4 ($)]]/Tableau4[[#This Row],[Nombres appareils installés]]</f>
        <v>3060</v>
      </c>
      <c r="AE43" s="195">
        <f>Tableau4[[#This Row],[Couverture 4 (%)]]*Tableau4[[#This Row],[Nombres appareils installés]]</f>
        <v>0.57750559104677612</v>
      </c>
      <c r="AF43" s="194">
        <f>Tableau4[[#This Row],[AF 4 par appareil  ($)]]/Tableau4[[#This Row],[Surcoût par appareil ($)]]</f>
        <v>0.57750559104677612</v>
      </c>
    </row>
    <row r="44" spans="2:32" x14ac:dyDescent="0.3">
      <c r="B44" s="188" t="s">
        <v>205</v>
      </c>
      <c r="C44" s="189" t="s">
        <v>230</v>
      </c>
      <c r="D44" s="189">
        <v>8</v>
      </c>
      <c r="E44" s="189">
        <v>215000</v>
      </c>
      <c r="F44" s="190">
        <f>Tableau4[[#This Row],[Economies totales (m3)]]/Tableau4[[#This Row],[Nombres appareils installés]]</f>
        <v>1068</v>
      </c>
      <c r="G44" s="191">
        <v>8544</v>
      </c>
      <c r="H44" s="189">
        <f t="shared" si="0"/>
        <v>2898.6499999999996</v>
      </c>
      <c r="I44" s="189">
        <v>2400</v>
      </c>
      <c r="J44" s="189">
        <f>Tableau4[[#This Row],[Surcoût moyens de l''équipement ($)]]+Tableau4[[#This Row],[Surcoût moyen de l''installation ($)]]</f>
        <v>5298.65</v>
      </c>
      <c r="K44" s="189">
        <f>Tableau4[[#This Row],[Surcoût par appareil ($)]]*Tableau4[[#This Row],[Nombres appareils installés]]</f>
        <v>42389.2</v>
      </c>
      <c r="L44" s="191">
        <v>13600</v>
      </c>
      <c r="M44" s="189">
        <f t="shared" si="1"/>
        <v>15800</v>
      </c>
      <c r="N44" s="189">
        <f>Tableau4[[#This Row],[AF 0 ($)]]/Tableau4[[#This Row],[Nombres appareils installés]]</f>
        <v>1975</v>
      </c>
      <c r="O44" s="192">
        <f>(Tableau4[[#This Row],[AF accordée ($)]])/($J$6*D44)</f>
        <v>0.42463905680171854</v>
      </c>
      <c r="P44" s="192">
        <f>Tableau4[[#This Row],[Couverture 0 (%)]]*Tableau4[[#This Row],[Nombres appareils installés]]</f>
        <v>3.3971124544137483</v>
      </c>
      <c r="Q44" s="189">
        <f>($Q$4+$R$4*(Tableau4[[#This Row],[Capacité (BTU)]]/1000))*Tableau4[[#This Row],[Nombres appareils installés]]</f>
        <v>24600</v>
      </c>
      <c r="R44" s="189">
        <f>Tableau4[[#This Row],[AF 1 ($)]]/Tableau4[[#This Row],[Nombres appareils installés]]</f>
        <v>3075</v>
      </c>
      <c r="S44" s="192">
        <f>Tableau4[[#This Row],[AF 1 ($)]]/(J44*D44)</f>
        <v>0.58033650080680932</v>
      </c>
      <c r="T44" s="192">
        <f>Tableau4[[#This Row],[Couverture 1 (%)]]*Tableau4[[#This Row],[Nombres appareils installés]]</f>
        <v>4.6426920064544746</v>
      </c>
      <c r="U44" s="189">
        <f>($U$4+($V$4*(Tableau4[[#This Row],[Capacité (BTU)]]/1000)))*Tableau4[[#This Row],[Nombres appareils installés]]</f>
        <v>28900</v>
      </c>
      <c r="V44" s="189">
        <f>Tableau4[[#This Row],[AF 2 ($)]]/Tableau4[[#This Row],[Nombres appareils installés]]</f>
        <v>3612.5</v>
      </c>
      <c r="W44" s="193">
        <f>Tableau4[[#This Row],[AF 2 par appareil ($)]]/Tableau4[[#This Row],[Surcoût par appareil ($)]]</f>
        <v>0.68177743387466627</v>
      </c>
      <c r="X44" s="193">
        <f>Tableau4[[#This Row],[Couverture 2 (%)]]*Tableau4[[#This Row],[Nombres appareils installés]]</f>
        <v>5.4542194709973302</v>
      </c>
      <c r="Y44" s="189">
        <f>($Y$4+$Z$4*(Tableau4[[#This Row],[Capacité (BTU)]]/1000))*Tableau4[[#This Row],[Nombres appareils installés]]</f>
        <v>28600</v>
      </c>
      <c r="Z44" s="189">
        <f>Tableau4[[#This Row],[AF 3 ($)]]/Tableau4[[#This Row],[Nombres appareils installés]]</f>
        <v>3575</v>
      </c>
      <c r="AA44" s="194">
        <f>Tableau4[[#This Row],[AF 3 par appareil ($)]]/Tableau4[[#This Row],[Surcoût par appareil ($)]]</f>
        <v>0.67470015947458317</v>
      </c>
      <c r="AB44" s="194">
        <f>Tableau4[[#This Row],[Couverture 3 (%)]]*Tableau4[[#This Row],[Nombres appareils installés]]</f>
        <v>5.3976012757966654</v>
      </c>
      <c r="AC44" s="189">
        <f>($AC$4+$AD$4*(Tableau4[[#This Row],[Capacité (BTU)]]/1000))*Tableau4[[#This Row],[Nombres appareils installés]]</f>
        <v>24480</v>
      </c>
      <c r="AD44" s="189">
        <f>Tableau4[[#This Row],[AF 4 ($)]]/Tableau4[[#This Row],[Nombres appareils installés]]</f>
        <v>3060</v>
      </c>
      <c r="AE44" s="195">
        <f>Tableau4[[#This Row],[Couverture 4 (%)]]*Tableau4[[#This Row],[Nombres appareils installés]]</f>
        <v>4.620044728374209</v>
      </c>
      <c r="AF44" s="194">
        <f>Tableau4[[#This Row],[AF 4 par appareil  ($)]]/Tableau4[[#This Row],[Surcoût par appareil ($)]]</f>
        <v>0.57750559104677612</v>
      </c>
    </row>
    <row r="45" spans="2:32" x14ac:dyDescent="0.3">
      <c r="B45" s="188" t="s">
        <v>205</v>
      </c>
      <c r="C45" s="189" t="s">
        <v>231</v>
      </c>
      <c r="D45" s="189">
        <v>21</v>
      </c>
      <c r="E45" s="189">
        <v>215000</v>
      </c>
      <c r="F45" s="190">
        <f>Tableau4[[#This Row],[Economies totales (m3)]]/Tableau4[[#This Row],[Nombres appareils installés]]</f>
        <v>1068</v>
      </c>
      <c r="G45" s="191">
        <v>22428</v>
      </c>
      <c r="H45" s="189">
        <f t="shared" si="0"/>
        <v>2898.6499999999996</v>
      </c>
      <c r="I45" s="189">
        <v>2400</v>
      </c>
      <c r="J45" s="189">
        <f>Tableau4[[#This Row],[Surcoût moyens de l''équipement ($)]]+Tableau4[[#This Row],[Surcoût moyen de l''installation ($)]]</f>
        <v>5298.65</v>
      </c>
      <c r="K45" s="189">
        <f>Tableau4[[#This Row],[Surcoût par appareil ($)]]*Tableau4[[#This Row],[Nombres appareils installés]]</f>
        <v>111271.65</v>
      </c>
      <c r="L45" s="191">
        <v>35700</v>
      </c>
      <c r="M45" s="189">
        <f t="shared" si="1"/>
        <v>41475</v>
      </c>
      <c r="N45" s="189">
        <f>Tableau4[[#This Row],[AF 0 ($)]]/Tableau4[[#This Row],[Nombres appareils installés]]</f>
        <v>1975</v>
      </c>
      <c r="O45" s="192">
        <f>(Tableau4[[#This Row],[AF accordée ($)]])/($J$6*D45)</f>
        <v>0.42463905680171848</v>
      </c>
      <c r="P45" s="192">
        <f>Tableau4[[#This Row],[Couverture 0 (%)]]*Tableau4[[#This Row],[Nombres appareils installés]]</f>
        <v>8.9174201928360883</v>
      </c>
      <c r="Q45" s="189">
        <f>($Q$4+$R$4*(Tableau4[[#This Row],[Capacité (BTU)]]/1000))*Tableau4[[#This Row],[Nombres appareils installés]]</f>
        <v>64575</v>
      </c>
      <c r="R45" s="189">
        <f>Tableau4[[#This Row],[AF 1 ($)]]/Tableau4[[#This Row],[Nombres appareils installés]]</f>
        <v>3075</v>
      </c>
      <c r="S45" s="192">
        <f>Tableau4[[#This Row],[AF 1 ($)]]/(J45*D45)</f>
        <v>0.58033650080680932</v>
      </c>
      <c r="T45" s="192">
        <f>Tableau4[[#This Row],[Couverture 1 (%)]]*Tableau4[[#This Row],[Nombres appareils installés]]</f>
        <v>12.187066516942995</v>
      </c>
      <c r="U45" s="189">
        <f>($U$4+($V$4*(Tableau4[[#This Row],[Capacité (BTU)]]/1000)))*Tableau4[[#This Row],[Nombres appareils installés]]</f>
        <v>75862.5</v>
      </c>
      <c r="V45" s="189">
        <f>Tableau4[[#This Row],[AF 2 ($)]]/Tableau4[[#This Row],[Nombres appareils installés]]</f>
        <v>3612.5</v>
      </c>
      <c r="W45" s="193">
        <f>Tableau4[[#This Row],[AF 2 par appareil ($)]]/Tableau4[[#This Row],[Surcoût par appareil ($)]]</f>
        <v>0.68177743387466627</v>
      </c>
      <c r="X45" s="193">
        <f>Tableau4[[#This Row],[Couverture 2 (%)]]*Tableau4[[#This Row],[Nombres appareils installés]]</f>
        <v>14.317326111367992</v>
      </c>
      <c r="Y45" s="189">
        <f>($Y$4+$Z$4*(Tableau4[[#This Row],[Capacité (BTU)]]/1000))*Tableau4[[#This Row],[Nombres appareils installés]]</f>
        <v>75075</v>
      </c>
      <c r="Z45" s="189">
        <f>Tableau4[[#This Row],[AF 3 ($)]]/Tableau4[[#This Row],[Nombres appareils installés]]</f>
        <v>3575</v>
      </c>
      <c r="AA45" s="194">
        <f>Tableau4[[#This Row],[AF 3 par appareil ($)]]/Tableau4[[#This Row],[Surcoût par appareil ($)]]</f>
        <v>0.67470015947458317</v>
      </c>
      <c r="AB45" s="194">
        <f>Tableau4[[#This Row],[Couverture 3 (%)]]*Tableau4[[#This Row],[Nombres appareils installés]]</f>
        <v>14.168703348966247</v>
      </c>
      <c r="AC45" s="189">
        <f>($AC$4+$AD$4*(Tableau4[[#This Row],[Capacité (BTU)]]/1000))*Tableau4[[#This Row],[Nombres appareils installés]]</f>
        <v>64260</v>
      </c>
      <c r="AD45" s="189">
        <f>Tableau4[[#This Row],[AF 4 ($)]]/Tableau4[[#This Row],[Nombres appareils installés]]</f>
        <v>3060</v>
      </c>
      <c r="AE45" s="195">
        <f>Tableau4[[#This Row],[Couverture 4 (%)]]*Tableau4[[#This Row],[Nombres appareils installés]]</f>
        <v>12.127617411982298</v>
      </c>
      <c r="AF45" s="194">
        <f>Tableau4[[#This Row],[AF 4 par appareil  ($)]]/Tableau4[[#This Row],[Surcoût par appareil ($)]]</f>
        <v>0.57750559104677612</v>
      </c>
    </row>
    <row r="46" spans="2:32" x14ac:dyDescent="0.3">
      <c r="B46" s="188" t="s">
        <v>205</v>
      </c>
      <c r="C46" s="189" t="s">
        <v>232</v>
      </c>
      <c r="D46" s="189">
        <v>1</v>
      </c>
      <c r="E46" s="189">
        <v>260000</v>
      </c>
      <c r="F46" s="190">
        <f>Tableau4[[#This Row],[Economies totales (m3)]]/Tableau4[[#This Row],[Nombres appareils installés]]</f>
        <v>1068</v>
      </c>
      <c r="G46" s="191">
        <v>1068</v>
      </c>
      <c r="H46" s="189">
        <f t="shared" si="0"/>
        <v>3535.3999999999996</v>
      </c>
      <c r="I46" s="189">
        <v>2400</v>
      </c>
      <c r="J46" s="189">
        <f>Tableau4[[#This Row],[Surcoût moyens de l''équipement ($)]]+Tableau4[[#This Row],[Surcoût moyen de l''installation ($)]]</f>
        <v>5935.4</v>
      </c>
      <c r="K46" s="189">
        <f>Tableau4[[#This Row],[Surcoût par appareil ($)]]*Tableau4[[#This Row],[Nombres appareils installés]]</f>
        <v>5935.4</v>
      </c>
      <c r="L46" s="191">
        <v>1700</v>
      </c>
      <c r="M46" s="189">
        <f t="shared" si="1"/>
        <v>2200</v>
      </c>
      <c r="N46" s="189">
        <f>Tableau4[[#This Row],[AF 0 ($)]]/Tableau4[[#This Row],[Nombres appareils installés]]</f>
        <v>2200</v>
      </c>
      <c r="O46" s="192">
        <f>(Tableau4[[#This Row],[AF accordée ($)]])/($J$6*D46)</f>
        <v>0.42463905680171854</v>
      </c>
      <c r="P46" s="192">
        <f>Tableau4[[#This Row],[Couverture 0 (%)]]*Tableau4[[#This Row],[Nombres appareils installés]]</f>
        <v>0.42463905680171854</v>
      </c>
      <c r="Q46" s="189">
        <f>($Q$4+$R$4*(Tableau4[[#This Row],[Capacité (BTU)]]/1000))*Tableau4[[#This Row],[Nombres appareils installés]]</f>
        <v>3300</v>
      </c>
      <c r="R46" s="189">
        <f>Tableau4[[#This Row],[AF 1 ($)]]/Tableau4[[#This Row],[Nombres appareils installés]]</f>
        <v>3300</v>
      </c>
      <c r="S46" s="192">
        <f>Tableau4[[#This Row],[AF 1 ($)]]/(J46*D46)</f>
        <v>0.55598611719513436</v>
      </c>
      <c r="T46" s="192">
        <f>Tableau4[[#This Row],[Couverture 1 (%)]]*Tableau4[[#This Row],[Nombres appareils installés]]</f>
        <v>0.55598611719513436</v>
      </c>
      <c r="U46" s="189">
        <f>($U$4+($V$4*(Tableau4[[#This Row],[Capacité (BTU)]]/1000)))*Tableau4[[#This Row],[Nombres appareils installés]]</f>
        <v>3950</v>
      </c>
      <c r="V46" s="189">
        <f>Tableau4[[#This Row],[AF 2 ($)]]/Tableau4[[#This Row],[Nombres appareils installés]]</f>
        <v>3950</v>
      </c>
      <c r="W46" s="193">
        <f>Tableau4[[#This Row],[AF 2 par appareil ($)]]/Tableau4[[#This Row],[Surcoût par appareil ($)]]</f>
        <v>0.66549853421841831</v>
      </c>
      <c r="X46" s="193">
        <f>Tableau4[[#This Row],[Couverture 2 (%)]]*Tableau4[[#This Row],[Nombres appareils installés]]</f>
        <v>0.66549853421841831</v>
      </c>
      <c r="Y46" s="189">
        <f>($Y$4+$Z$4*(Tableau4[[#This Row],[Capacité (BTU)]]/1000))*Tableau4[[#This Row],[Nombres appareils installés]]</f>
        <v>3800</v>
      </c>
      <c r="Z46" s="189">
        <f>Tableau4[[#This Row],[AF 3 ($)]]/Tableau4[[#This Row],[Nombres appareils installés]]</f>
        <v>3800</v>
      </c>
      <c r="AA46" s="194">
        <f>Tableau4[[#This Row],[AF 3 par appareil ($)]]/Tableau4[[#This Row],[Surcoût par appareil ($)]]</f>
        <v>0.64022643798227585</v>
      </c>
      <c r="AB46" s="194">
        <f>Tableau4[[#This Row],[Couverture 3 (%)]]*Tableau4[[#This Row],[Nombres appareils installés]]</f>
        <v>0.64022643798227585</v>
      </c>
      <c r="AC46" s="189">
        <f>($AC$4+$AD$4*(Tableau4[[#This Row],[Capacité (BTU)]]/1000))*Tableau4[[#This Row],[Nombres appareils installés]]</f>
        <v>3240</v>
      </c>
      <c r="AD46" s="189">
        <f>Tableau4[[#This Row],[AF 4 ($)]]/Tableau4[[#This Row],[Nombres appareils installés]]</f>
        <v>3240</v>
      </c>
      <c r="AE46" s="195">
        <f>Tableau4[[#This Row],[Couverture 4 (%)]]*Tableau4[[#This Row],[Nombres appareils installés]]</f>
        <v>0.54587727870067737</v>
      </c>
      <c r="AF46" s="194">
        <f>Tableau4[[#This Row],[AF 4 par appareil  ($)]]/Tableau4[[#This Row],[Surcoût par appareil ($)]]</f>
        <v>0.54587727870067737</v>
      </c>
    </row>
    <row r="47" spans="2:32" x14ac:dyDescent="0.3">
      <c r="B47" s="188" t="s">
        <v>205</v>
      </c>
      <c r="C47" s="189" t="s">
        <v>216</v>
      </c>
      <c r="D47" s="189">
        <v>1</v>
      </c>
      <c r="E47" s="189">
        <v>260000</v>
      </c>
      <c r="F47" s="190">
        <f>Tableau4[[#This Row],[Economies totales (m3)]]/Tableau4[[#This Row],[Nombres appareils installés]]</f>
        <v>1068</v>
      </c>
      <c r="G47" s="191">
        <v>1068</v>
      </c>
      <c r="H47" s="189">
        <f t="shared" si="0"/>
        <v>3535.3999999999996</v>
      </c>
      <c r="I47" s="189">
        <v>2400</v>
      </c>
      <c r="J47" s="189">
        <f>Tableau4[[#This Row],[Surcoût moyens de l''équipement ($)]]+Tableau4[[#This Row],[Surcoût moyen de l''installation ($)]]</f>
        <v>5935.4</v>
      </c>
      <c r="K47" s="189">
        <f>Tableau4[[#This Row],[Surcoût par appareil ($)]]*Tableau4[[#This Row],[Nombres appareils installés]]</f>
        <v>5935.4</v>
      </c>
      <c r="L47" s="191">
        <v>1700</v>
      </c>
      <c r="M47" s="189">
        <f t="shared" si="1"/>
        <v>2200</v>
      </c>
      <c r="N47" s="189">
        <f>Tableau4[[#This Row],[AF 0 ($)]]/Tableau4[[#This Row],[Nombres appareils installés]]</f>
        <v>2200</v>
      </c>
      <c r="O47" s="192">
        <f>(Tableau4[[#This Row],[AF accordée ($)]])/($J$6*D47)</f>
        <v>0.42463905680171854</v>
      </c>
      <c r="P47" s="192">
        <f>Tableau4[[#This Row],[Couverture 0 (%)]]*Tableau4[[#This Row],[Nombres appareils installés]]</f>
        <v>0.42463905680171854</v>
      </c>
      <c r="Q47" s="189">
        <f>($Q$4+$R$4*(Tableau4[[#This Row],[Capacité (BTU)]]/1000))*Tableau4[[#This Row],[Nombres appareils installés]]</f>
        <v>3300</v>
      </c>
      <c r="R47" s="189">
        <f>Tableau4[[#This Row],[AF 1 ($)]]/Tableau4[[#This Row],[Nombres appareils installés]]</f>
        <v>3300</v>
      </c>
      <c r="S47" s="192">
        <f>Tableau4[[#This Row],[AF 1 ($)]]/(J47*D47)</f>
        <v>0.55598611719513436</v>
      </c>
      <c r="T47" s="192">
        <f>Tableau4[[#This Row],[Couverture 1 (%)]]*Tableau4[[#This Row],[Nombres appareils installés]]</f>
        <v>0.55598611719513436</v>
      </c>
      <c r="U47" s="189">
        <f>($U$4+($V$4*(Tableau4[[#This Row],[Capacité (BTU)]]/1000)))*Tableau4[[#This Row],[Nombres appareils installés]]</f>
        <v>3950</v>
      </c>
      <c r="V47" s="189">
        <f>Tableau4[[#This Row],[AF 2 ($)]]/Tableau4[[#This Row],[Nombres appareils installés]]</f>
        <v>3950</v>
      </c>
      <c r="W47" s="193">
        <f>Tableau4[[#This Row],[AF 2 par appareil ($)]]/Tableau4[[#This Row],[Surcoût par appareil ($)]]</f>
        <v>0.66549853421841831</v>
      </c>
      <c r="X47" s="193">
        <f>Tableau4[[#This Row],[Couverture 2 (%)]]*Tableau4[[#This Row],[Nombres appareils installés]]</f>
        <v>0.66549853421841831</v>
      </c>
      <c r="Y47" s="189">
        <f>($Y$4+$Z$4*(Tableau4[[#This Row],[Capacité (BTU)]]/1000))*Tableau4[[#This Row],[Nombres appareils installés]]</f>
        <v>3800</v>
      </c>
      <c r="Z47" s="189">
        <f>Tableau4[[#This Row],[AF 3 ($)]]/Tableau4[[#This Row],[Nombres appareils installés]]</f>
        <v>3800</v>
      </c>
      <c r="AA47" s="194">
        <f>Tableau4[[#This Row],[AF 3 par appareil ($)]]/Tableau4[[#This Row],[Surcoût par appareil ($)]]</f>
        <v>0.64022643798227585</v>
      </c>
      <c r="AB47" s="194">
        <f>Tableau4[[#This Row],[Couverture 3 (%)]]*Tableau4[[#This Row],[Nombres appareils installés]]</f>
        <v>0.64022643798227585</v>
      </c>
      <c r="AC47" s="189">
        <f>($AC$4+$AD$4*(Tableau4[[#This Row],[Capacité (BTU)]]/1000))*Tableau4[[#This Row],[Nombres appareils installés]]</f>
        <v>3240</v>
      </c>
      <c r="AD47" s="189">
        <f>Tableau4[[#This Row],[AF 4 ($)]]/Tableau4[[#This Row],[Nombres appareils installés]]</f>
        <v>3240</v>
      </c>
      <c r="AE47" s="195">
        <f>Tableau4[[#This Row],[Couverture 4 (%)]]*Tableau4[[#This Row],[Nombres appareils installés]]</f>
        <v>0.54587727870067737</v>
      </c>
      <c r="AF47" s="194">
        <f>Tableau4[[#This Row],[AF 4 par appareil  ($)]]/Tableau4[[#This Row],[Surcoût par appareil ($)]]</f>
        <v>0.54587727870067737</v>
      </c>
    </row>
    <row r="48" spans="2:32" x14ac:dyDescent="0.3">
      <c r="B48" s="188" t="s">
        <v>205</v>
      </c>
      <c r="C48" s="189" t="s">
        <v>216</v>
      </c>
      <c r="D48" s="189">
        <v>1</v>
      </c>
      <c r="E48" s="189">
        <v>260000</v>
      </c>
      <c r="F48" s="190">
        <f>Tableau4[[#This Row],[Economies totales (m3)]]/Tableau4[[#This Row],[Nombres appareils installés]]</f>
        <v>1068</v>
      </c>
      <c r="G48" s="191">
        <v>1068</v>
      </c>
      <c r="H48" s="189">
        <f t="shared" si="0"/>
        <v>3535.3999999999996</v>
      </c>
      <c r="I48" s="189">
        <v>2400</v>
      </c>
      <c r="J48" s="189">
        <f>Tableau4[[#This Row],[Surcoût moyens de l''équipement ($)]]+Tableau4[[#This Row],[Surcoût moyen de l''installation ($)]]</f>
        <v>5935.4</v>
      </c>
      <c r="K48" s="189">
        <f>Tableau4[[#This Row],[Surcoût par appareil ($)]]*Tableau4[[#This Row],[Nombres appareils installés]]</f>
        <v>5935.4</v>
      </c>
      <c r="L48" s="191">
        <v>1700</v>
      </c>
      <c r="M48" s="189">
        <f t="shared" si="1"/>
        <v>2200</v>
      </c>
      <c r="N48" s="189">
        <f>Tableau4[[#This Row],[AF 0 ($)]]/Tableau4[[#This Row],[Nombres appareils installés]]</f>
        <v>2200</v>
      </c>
      <c r="O48" s="192">
        <f>(Tableau4[[#This Row],[AF accordée ($)]])/($J$6*D48)</f>
        <v>0.42463905680171854</v>
      </c>
      <c r="P48" s="192">
        <f>Tableau4[[#This Row],[Couverture 0 (%)]]*Tableau4[[#This Row],[Nombres appareils installés]]</f>
        <v>0.42463905680171854</v>
      </c>
      <c r="Q48" s="189">
        <f>($Q$4+$R$4*(Tableau4[[#This Row],[Capacité (BTU)]]/1000))*Tableau4[[#This Row],[Nombres appareils installés]]</f>
        <v>3300</v>
      </c>
      <c r="R48" s="189">
        <f>Tableau4[[#This Row],[AF 1 ($)]]/Tableau4[[#This Row],[Nombres appareils installés]]</f>
        <v>3300</v>
      </c>
      <c r="S48" s="192">
        <f>Tableau4[[#This Row],[AF 1 ($)]]/(J48*D48)</f>
        <v>0.55598611719513436</v>
      </c>
      <c r="T48" s="192">
        <f>Tableau4[[#This Row],[Couverture 1 (%)]]*Tableau4[[#This Row],[Nombres appareils installés]]</f>
        <v>0.55598611719513436</v>
      </c>
      <c r="U48" s="189">
        <f>($U$4+($V$4*(Tableau4[[#This Row],[Capacité (BTU)]]/1000)))*Tableau4[[#This Row],[Nombres appareils installés]]</f>
        <v>3950</v>
      </c>
      <c r="V48" s="189">
        <f>Tableau4[[#This Row],[AF 2 ($)]]/Tableau4[[#This Row],[Nombres appareils installés]]</f>
        <v>3950</v>
      </c>
      <c r="W48" s="193">
        <f>Tableau4[[#This Row],[AF 2 par appareil ($)]]/Tableau4[[#This Row],[Surcoût par appareil ($)]]</f>
        <v>0.66549853421841831</v>
      </c>
      <c r="X48" s="193">
        <f>Tableau4[[#This Row],[Couverture 2 (%)]]*Tableau4[[#This Row],[Nombres appareils installés]]</f>
        <v>0.66549853421841831</v>
      </c>
      <c r="Y48" s="189">
        <f>($Y$4+$Z$4*(Tableau4[[#This Row],[Capacité (BTU)]]/1000))*Tableau4[[#This Row],[Nombres appareils installés]]</f>
        <v>3800</v>
      </c>
      <c r="Z48" s="189">
        <f>Tableau4[[#This Row],[AF 3 ($)]]/Tableau4[[#This Row],[Nombres appareils installés]]</f>
        <v>3800</v>
      </c>
      <c r="AA48" s="194">
        <f>Tableau4[[#This Row],[AF 3 par appareil ($)]]/Tableau4[[#This Row],[Surcoût par appareil ($)]]</f>
        <v>0.64022643798227585</v>
      </c>
      <c r="AB48" s="194">
        <f>Tableau4[[#This Row],[Couverture 3 (%)]]*Tableau4[[#This Row],[Nombres appareils installés]]</f>
        <v>0.64022643798227585</v>
      </c>
      <c r="AC48" s="189">
        <f>($AC$4+$AD$4*(Tableau4[[#This Row],[Capacité (BTU)]]/1000))*Tableau4[[#This Row],[Nombres appareils installés]]</f>
        <v>3240</v>
      </c>
      <c r="AD48" s="189">
        <f>Tableau4[[#This Row],[AF 4 ($)]]/Tableau4[[#This Row],[Nombres appareils installés]]</f>
        <v>3240</v>
      </c>
      <c r="AE48" s="195">
        <f>Tableau4[[#This Row],[Couverture 4 (%)]]*Tableau4[[#This Row],[Nombres appareils installés]]</f>
        <v>0.54587727870067737</v>
      </c>
      <c r="AF48" s="194">
        <f>Tableau4[[#This Row],[AF 4 par appareil  ($)]]/Tableau4[[#This Row],[Surcoût par appareil ($)]]</f>
        <v>0.54587727870067737</v>
      </c>
    </row>
    <row r="49" spans="2:32" x14ac:dyDescent="0.3">
      <c r="B49" s="188" t="s">
        <v>205</v>
      </c>
      <c r="C49" s="189" t="s">
        <v>216</v>
      </c>
      <c r="D49" s="189">
        <v>1</v>
      </c>
      <c r="E49" s="189">
        <v>260000</v>
      </c>
      <c r="F49" s="190">
        <f>Tableau4[[#This Row],[Economies totales (m3)]]/Tableau4[[#This Row],[Nombres appareils installés]]</f>
        <v>1068</v>
      </c>
      <c r="G49" s="191">
        <v>1068</v>
      </c>
      <c r="H49" s="189">
        <f t="shared" si="0"/>
        <v>3535.3999999999996</v>
      </c>
      <c r="I49" s="189">
        <v>2400</v>
      </c>
      <c r="J49" s="189">
        <f>Tableau4[[#This Row],[Surcoût moyens de l''équipement ($)]]+Tableau4[[#This Row],[Surcoût moyen de l''installation ($)]]</f>
        <v>5935.4</v>
      </c>
      <c r="K49" s="189">
        <f>Tableau4[[#This Row],[Surcoût par appareil ($)]]*Tableau4[[#This Row],[Nombres appareils installés]]</f>
        <v>5935.4</v>
      </c>
      <c r="L49" s="191">
        <v>1700</v>
      </c>
      <c r="M49" s="189">
        <f t="shared" si="1"/>
        <v>2200</v>
      </c>
      <c r="N49" s="189">
        <f>Tableau4[[#This Row],[AF 0 ($)]]/Tableau4[[#This Row],[Nombres appareils installés]]</f>
        <v>2200</v>
      </c>
      <c r="O49" s="192">
        <f>(Tableau4[[#This Row],[AF accordée ($)]])/($J$6*D49)</f>
        <v>0.42463905680171854</v>
      </c>
      <c r="P49" s="192">
        <f>Tableau4[[#This Row],[Couverture 0 (%)]]*Tableau4[[#This Row],[Nombres appareils installés]]</f>
        <v>0.42463905680171854</v>
      </c>
      <c r="Q49" s="189">
        <f>($Q$4+$R$4*(Tableau4[[#This Row],[Capacité (BTU)]]/1000))*Tableau4[[#This Row],[Nombres appareils installés]]</f>
        <v>3300</v>
      </c>
      <c r="R49" s="189">
        <f>Tableau4[[#This Row],[AF 1 ($)]]/Tableau4[[#This Row],[Nombres appareils installés]]</f>
        <v>3300</v>
      </c>
      <c r="S49" s="192">
        <f>Tableau4[[#This Row],[AF 1 ($)]]/(J49*D49)</f>
        <v>0.55598611719513436</v>
      </c>
      <c r="T49" s="192">
        <f>Tableau4[[#This Row],[Couverture 1 (%)]]*Tableau4[[#This Row],[Nombres appareils installés]]</f>
        <v>0.55598611719513436</v>
      </c>
      <c r="U49" s="189">
        <f>($U$4+($V$4*(Tableau4[[#This Row],[Capacité (BTU)]]/1000)))*Tableau4[[#This Row],[Nombres appareils installés]]</f>
        <v>3950</v>
      </c>
      <c r="V49" s="189">
        <f>Tableau4[[#This Row],[AF 2 ($)]]/Tableau4[[#This Row],[Nombres appareils installés]]</f>
        <v>3950</v>
      </c>
      <c r="W49" s="193">
        <f>Tableau4[[#This Row],[AF 2 par appareil ($)]]/Tableau4[[#This Row],[Surcoût par appareil ($)]]</f>
        <v>0.66549853421841831</v>
      </c>
      <c r="X49" s="193">
        <f>Tableau4[[#This Row],[Couverture 2 (%)]]*Tableau4[[#This Row],[Nombres appareils installés]]</f>
        <v>0.66549853421841831</v>
      </c>
      <c r="Y49" s="189">
        <f>($Y$4+$Z$4*(Tableau4[[#This Row],[Capacité (BTU)]]/1000))*Tableau4[[#This Row],[Nombres appareils installés]]</f>
        <v>3800</v>
      </c>
      <c r="Z49" s="189">
        <f>Tableau4[[#This Row],[AF 3 ($)]]/Tableau4[[#This Row],[Nombres appareils installés]]</f>
        <v>3800</v>
      </c>
      <c r="AA49" s="194">
        <f>Tableau4[[#This Row],[AF 3 par appareil ($)]]/Tableau4[[#This Row],[Surcoût par appareil ($)]]</f>
        <v>0.64022643798227585</v>
      </c>
      <c r="AB49" s="194">
        <f>Tableau4[[#This Row],[Couverture 3 (%)]]*Tableau4[[#This Row],[Nombres appareils installés]]</f>
        <v>0.64022643798227585</v>
      </c>
      <c r="AC49" s="189">
        <f>($AC$4+$AD$4*(Tableau4[[#This Row],[Capacité (BTU)]]/1000))*Tableau4[[#This Row],[Nombres appareils installés]]</f>
        <v>3240</v>
      </c>
      <c r="AD49" s="189">
        <f>Tableau4[[#This Row],[AF 4 ($)]]/Tableau4[[#This Row],[Nombres appareils installés]]</f>
        <v>3240</v>
      </c>
      <c r="AE49" s="195">
        <f>Tableau4[[#This Row],[Couverture 4 (%)]]*Tableau4[[#This Row],[Nombres appareils installés]]</f>
        <v>0.54587727870067737</v>
      </c>
      <c r="AF49" s="194">
        <f>Tableau4[[#This Row],[AF 4 par appareil  ($)]]/Tableau4[[#This Row],[Surcoût par appareil ($)]]</f>
        <v>0.54587727870067737</v>
      </c>
    </row>
    <row r="50" spans="2:32" x14ac:dyDescent="0.3">
      <c r="B50" s="188" t="s">
        <v>205</v>
      </c>
      <c r="C50" s="189" t="s">
        <v>216</v>
      </c>
      <c r="D50" s="189">
        <v>2</v>
      </c>
      <c r="E50" s="189">
        <v>260000</v>
      </c>
      <c r="F50" s="190">
        <f>Tableau4[[#This Row],[Economies totales (m3)]]/Tableau4[[#This Row],[Nombres appareils installés]]</f>
        <v>1068</v>
      </c>
      <c r="G50" s="191">
        <v>2136</v>
      </c>
      <c r="H50" s="189">
        <f t="shared" si="0"/>
        <v>3535.3999999999996</v>
      </c>
      <c r="I50" s="189">
        <v>2400</v>
      </c>
      <c r="J50" s="189">
        <f>Tableau4[[#This Row],[Surcoût moyens de l''équipement ($)]]+Tableau4[[#This Row],[Surcoût moyen de l''installation ($)]]</f>
        <v>5935.4</v>
      </c>
      <c r="K50" s="189">
        <f>Tableau4[[#This Row],[Surcoût par appareil ($)]]*Tableau4[[#This Row],[Nombres appareils installés]]</f>
        <v>11870.8</v>
      </c>
      <c r="L50" s="191">
        <v>3400</v>
      </c>
      <c r="M50" s="189">
        <f t="shared" si="1"/>
        <v>4400</v>
      </c>
      <c r="N50" s="189">
        <f>Tableau4[[#This Row],[AF 0 ($)]]/Tableau4[[#This Row],[Nombres appareils installés]]</f>
        <v>2200</v>
      </c>
      <c r="O50" s="192">
        <f>(Tableau4[[#This Row],[AF accordée ($)]])/($J$6*D50)</f>
        <v>0.42463905680171854</v>
      </c>
      <c r="P50" s="192">
        <f>Tableau4[[#This Row],[Couverture 0 (%)]]*Tableau4[[#This Row],[Nombres appareils installés]]</f>
        <v>0.84927811360343708</v>
      </c>
      <c r="Q50" s="189">
        <f>($Q$4+$R$4*(Tableau4[[#This Row],[Capacité (BTU)]]/1000))*Tableau4[[#This Row],[Nombres appareils installés]]</f>
        <v>6600</v>
      </c>
      <c r="R50" s="189">
        <f>Tableau4[[#This Row],[AF 1 ($)]]/Tableau4[[#This Row],[Nombres appareils installés]]</f>
        <v>3300</v>
      </c>
      <c r="S50" s="192">
        <f>Tableau4[[#This Row],[AF 1 ($)]]/(J50*D50)</f>
        <v>0.55598611719513436</v>
      </c>
      <c r="T50" s="192">
        <f>Tableau4[[#This Row],[Couverture 1 (%)]]*Tableau4[[#This Row],[Nombres appareils installés]]</f>
        <v>1.1119722343902687</v>
      </c>
      <c r="U50" s="189">
        <f>($U$4+($V$4*(Tableau4[[#This Row],[Capacité (BTU)]]/1000)))*Tableau4[[#This Row],[Nombres appareils installés]]</f>
        <v>7900</v>
      </c>
      <c r="V50" s="189">
        <f>Tableau4[[#This Row],[AF 2 ($)]]/Tableau4[[#This Row],[Nombres appareils installés]]</f>
        <v>3950</v>
      </c>
      <c r="W50" s="193">
        <f>Tableau4[[#This Row],[AF 2 par appareil ($)]]/Tableau4[[#This Row],[Surcoût par appareil ($)]]</f>
        <v>0.66549853421841831</v>
      </c>
      <c r="X50" s="193">
        <f>Tableau4[[#This Row],[Couverture 2 (%)]]*Tableau4[[#This Row],[Nombres appareils installés]]</f>
        <v>1.3309970684368366</v>
      </c>
      <c r="Y50" s="189">
        <f>($Y$4+$Z$4*(Tableau4[[#This Row],[Capacité (BTU)]]/1000))*Tableau4[[#This Row],[Nombres appareils installés]]</f>
        <v>7600</v>
      </c>
      <c r="Z50" s="189">
        <f>Tableau4[[#This Row],[AF 3 ($)]]/Tableau4[[#This Row],[Nombres appareils installés]]</f>
        <v>3800</v>
      </c>
      <c r="AA50" s="194">
        <f>Tableau4[[#This Row],[AF 3 par appareil ($)]]/Tableau4[[#This Row],[Surcoût par appareil ($)]]</f>
        <v>0.64022643798227585</v>
      </c>
      <c r="AB50" s="194">
        <f>Tableau4[[#This Row],[Couverture 3 (%)]]*Tableau4[[#This Row],[Nombres appareils installés]]</f>
        <v>1.2804528759645517</v>
      </c>
      <c r="AC50" s="189">
        <f>($AC$4+$AD$4*(Tableau4[[#This Row],[Capacité (BTU)]]/1000))*Tableau4[[#This Row],[Nombres appareils installés]]</f>
        <v>6480</v>
      </c>
      <c r="AD50" s="189">
        <f>Tableau4[[#This Row],[AF 4 ($)]]/Tableau4[[#This Row],[Nombres appareils installés]]</f>
        <v>3240</v>
      </c>
      <c r="AE50" s="195">
        <f>Tableau4[[#This Row],[Couverture 4 (%)]]*Tableau4[[#This Row],[Nombres appareils installés]]</f>
        <v>1.0917545574013547</v>
      </c>
      <c r="AF50" s="194">
        <f>Tableau4[[#This Row],[AF 4 par appareil  ($)]]/Tableau4[[#This Row],[Surcoût par appareil ($)]]</f>
        <v>0.54587727870067737</v>
      </c>
    </row>
    <row r="51" spans="2:32" x14ac:dyDescent="0.3">
      <c r="B51" s="188" t="s">
        <v>205</v>
      </c>
      <c r="C51" s="189" t="s">
        <v>227</v>
      </c>
      <c r="D51" s="189">
        <v>5</v>
      </c>
      <c r="E51" s="189">
        <v>260000</v>
      </c>
      <c r="F51" s="190">
        <f>Tableau4[[#This Row],[Economies totales (m3)]]/Tableau4[[#This Row],[Nombres appareils installés]]</f>
        <v>1068</v>
      </c>
      <c r="G51" s="191">
        <v>5340</v>
      </c>
      <c r="H51" s="189">
        <f t="shared" si="0"/>
        <v>3535.3999999999996</v>
      </c>
      <c r="I51" s="189">
        <v>2400</v>
      </c>
      <c r="J51" s="189">
        <f>Tableau4[[#This Row],[Surcoût moyens de l''équipement ($)]]+Tableau4[[#This Row],[Surcoût moyen de l''installation ($)]]</f>
        <v>5935.4</v>
      </c>
      <c r="K51" s="189">
        <f>Tableau4[[#This Row],[Surcoût par appareil ($)]]*Tableau4[[#This Row],[Nombres appareils installés]]</f>
        <v>29677</v>
      </c>
      <c r="L51" s="191">
        <v>8500</v>
      </c>
      <c r="M51" s="189">
        <f t="shared" si="1"/>
        <v>11000</v>
      </c>
      <c r="N51" s="189">
        <f>Tableau4[[#This Row],[AF 0 ($)]]/Tableau4[[#This Row],[Nombres appareils installés]]</f>
        <v>2200</v>
      </c>
      <c r="O51" s="192">
        <f>(Tableau4[[#This Row],[AF accordée ($)]])/($J$6*D51)</f>
        <v>0.42463905680171854</v>
      </c>
      <c r="P51" s="192">
        <f>Tableau4[[#This Row],[Couverture 0 (%)]]*Tableau4[[#This Row],[Nombres appareils installés]]</f>
        <v>2.1231952840085926</v>
      </c>
      <c r="Q51" s="189">
        <f>($Q$4+$R$4*(Tableau4[[#This Row],[Capacité (BTU)]]/1000))*Tableau4[[#This Row],[Nombres appareils installés]]</f>
        <v>16500</v>
      </c>
      <c r="R51" s="189">
        <f>Tableau4[[#This Row],[AF 1 ($)]]/Tableau4[[#This Row],[Nombres appareils installés]]</f>
        <v>3300</v>
      </c>
      <c r="S51" s="192">
        <f>Tableau4[[#This Row],[AF 1 ($)]]/(J51*D51)</f>
        <v>0.55598611719513424</v>
      </c>
      <c r="T51" s="192">
        <f>Tableau4[[#This Row],[Couverture 1 (%)]]*Tableau4[[#This Row],[Nombres appareils installés]]</f>
        <v>2.7799305859756713</v>
      </c>
      <c r="U51" s="189">
        <f>($U$4+($V$4*(Tableau4[[#This Row],[Capacité (BTU)]]/1000)))*Tableau4[[#This Row],[Nombres appareils installés]]</f>
        <v>19750</v>
      </c>
      <c r="V51" s="189">
        <f>Tableau4[[#This Row],[AF 2 ($)]]/Tableau4[[#This Row],[Nombres appareils installés]]</f>
        <v>3950</v>
      </c>
      <c r="W51" s="193">
        <f>Tableau4[[#This Row],[AF 2 par appareil ($)]]/Tableau4[[#This Row],[Surcoût par appareil ($)]]</f>
        <v>0.66549853421841831</v>
      </c>
      <c r="X51" s="193">
        <f>Tableau4[[#This Row],[Couverture 2 (%)]]*Tableau4[[#This Row],[Nombres appareils installés]]</f>
        <v>3.3274926710920916</v>
      </c>
      <c r="Y51" s="189">
        <f>($Y$4+$Z$4*(Tableau4[[#This Row],[Capacité (BTU)]]/1000))*Tableau4[[#This Row],[Nombres appareils installés]]</f>
        <v>19000</v>
      </c>
      <c r="Z51" s="189">
        <f>Tableau4[[#This Row],[AF 3 ($)]]/Tableau4[[#This Row],[Nombres appareils installés]]</f>
        <v>3800</v>
      </c>
      <c r="AA51" s="194">
        <f>Tableau4[[#This Row],[AF 3 par appareil ($)]]/Tableau4[[#This Row],[Surcoût par appareil ($)]]</f>
        <v>0.64022643798227585</v>
      </c>
      <c r="AB51" s="194">
        <f>Tableau4[[#This Row],[Couverture 3 (%)]]*Tableau4[[#This Row],[Nombres appareils installés]]</f>
        <v>3.2011321899113794</v>
      </c>
      <c r="AC51" s="189">
        <f>($AC$4+$AD$4*(Tableau4[[#This Row],[Capacité (BTU)]]/1000))*Tableau4[[#This Row],[Nombres appareils installés]]</f>
        <v>16200</v>
      </c>
      <c r="AD51" s="189">
        <f>Tableau4[[#This Row],[AF 4 ($)]]/Tableau4[[#This Row],[Nombres appareils installés]]</f>
        <v>3240</v>
      </c>
      <c r="AE51" s="195">
        <f>Tableau4[[#This Row],[Couverture 4 (%)]]*Tableau4[[#This Row],[Nombres appareils installés]]</f>
        <v>2.7293863935033871</v>
      </c>
      <c r="AF51" s="194">
        <f>Tableau4[[#This Row],[AF 4 par appareil  ($)]]/Tableau4[[#This Row],[Surcoût par appareil ($)]]</f>
        <v>0.54587727870067737</v>
      </c>
    </row>
    <row r="52" spans="2:32" x14ac:dyDescent="0.3">
      <c r="B52" s="188" t="s">
        <v>205</v>
      </c>
      <c r="C52" s="189" t="s">
        <v>233</v>
      </c>
      <c r="D52" s="189">
        <v>1</v>
      </c>
      <c r="E52" s="189">
        <v>310000</v>
      </c>
      <c r="F52" s="190">
        <f>Tableau4[[#This Row],[Economies totales (m3)]]/Tableau4[[#This Row],[Nombres appareils installés]]</f>
        <v>1068</v>
      </c>
      <c r="G52" s="191">
        <v>1068</v>
      </c>
      <c r="H52" s="189">
        <f t="shared" si="0"/>
        <v>4385.3999999999996</v>
      </c>
      <c r="I52" s="189">
        <v>2400</v>
      </c>
      <c r="J52" s="189">
        <f>Tableau4[[#This Row],[Surcoût moyens de l''équipement ($)]]+Tableau4[[#This Row],[Surcoût moyen de l''installation ($)]]</f>
        <v>6785.4</v>
      </c>
      <c r="K52" s="189">
        <f>Tableau4[[#This Row],[Surcoût par appareil ($)]]*Tableau4[[#This Row],[Nombres appareils installés]]</f>
        <v>6785.4</v>
      </c>
      <c r="L52" s="191">
        <v>1700</v>
      </c>
      <c r="M52" s="189">
        <f t="shared" si="1"/>
        <v>2450</v>
      </c>
      <c r="N52" s="189">
        <f>Tableau4[[#This Row],[AF 0 ($)]]/Tableau4[[#This Row],[Nombres appareils installés]]</f>
        <v>2450</v>
      </c>
      <c r="O52" s="192">
        <f>(Tableau4[[#This Row],[AF accordée ($)]])/($J$6*D52)</f>
        <v>0.42463905680171854</v>
      </c>
      <c r="P52" s="192">
        <f>Tableau4[[#This Row],[Couverture 0 (%)]]*Tableau4[[#This Row],[Nombres appareils installés]]</f>
        <v>0.42463905680171854</v>
      </c>
      <c r="Q52" s="189">
        <f>($Q$4+$R$4*(Tableau4[[#This Row],[Capacité (BTU)]]/1000))*Tableau4[[#This Row],[Nombres appareils installés]]</f>
        <v>3550</v>
      </c>
      <c r="R52" s="189">
        <f>Tableau4[[#This Row],[AF 1 ($)]]/Tableau4[[#This Row],[Nombres appareils installés]]</f>
        <v>3550</v>
      </c>
      <c r="S52" s="192">
        <f>Tableau4[[#This Row],[AF 1 ($)]]/(J52*D52)</f>
        <v>0.52318212633006167</v>
      </c>
      <c r="T52" s="192">
        <f>Tableau4[[#This Row],[Couverture 1 (%)]]*Tableau4[[#This Row],[Nombres appareils installés]]</f>
        <v>0.52318212633006167</v>
      </c>
      <c r="U52" s="189">
        <f>($U$4+($V$4*(Tableau4[[#This Row],[Capacité (BTU)]]/1000)))*Tableau4[[#This Row],[Nombres appareils installés]]</f>
        <v>4325</v>
      </c>
      <c r="V52" s="189">
        <f>Tableau4[[#This Row],[AF 2 ($)]]/Tableau4[[#This Row],[Nombres appareils installés]]</f>
        <v>4325</v>
      </c>
      <c r="W52" s="193">
        <f>Tableau4[[#This Row],[AF 2 par appareil ($)]]/Tableau4[[#This Row],[Surcoût par appareil ($)]]</f>
        <v>0.63739794264155392</v>
      </c>
      <c r="X52" s="193">
        <f>Tableau4[[#This Row],[Couverture 2 (%)]]*Tableau4[[#This Row],[Nombres appareils installés]]</f>
        <v>0.63739794264155392</v>
      </c>
      <c r="Y52" s="189">
        <f>($Y$4+$Z$4*(Tableau4[[#This Row],[Capacité (BTU)]]/1000))*Tableau4[[#This Row],[Nombres appareils installés]]</f>
        <v>4050</v>
      </c>
      <c r="Z52" s="189">
        <f>Tableau4[[#This Row],[AF 3 ($)]]/Tableau4[[#This Row],[Nombres appareils installés]]</f>
        <v>4050</v>
      </c>
      <c r="AA52" s="194">
        <f>Tableau4[[#This Row],[AF 3 par appareil ($)]]/Tableau4[[#This Row],[Surcoût par appareil ($)]]</f>
        <v>0.59686974975683083</v>
      </c>
      <c r="AB52" s="194">
        <f>Tableau4[[#This Row],[Couverture 3 (%)]]*Tableau4[[#This Row],[Nombres appareils installés]]</f>
        <v>0.59686974975683083</v>
      </c>
      <c r="AC52" s="189">
        <f>($AC$4+$AD$4*(Tableau4[[#This Row],[Capacité (BTU)]]/1000))*Tableau4[[#This Row],[Nombres appareils installés]]</f>
        <v>3440</v>
      </c>
      <c r="AD52" s="189">
        <f>Tableau4[[#This Row],[AF 4 ($)]]/Tableau4[[#This Row],[Nombres appareils installés]]</f>
        <v>3440</v>
      </c>
      <c r="AE52" s="195">
        <f>Tableau4[[#This Row],[Couverture 4 (%)]]*Tableau4[[#This Row],[Nombres appareils installés]]</f>
        <v>0.50697084917617241</v>
      </c>
      <c r="AF52" s="194">
        <f>Tableau4[[#This Row],[AF 4 par appareil  ($)]]/Tableau4[[#This Row],[Surcoût par appareil ($)]]</f>
        <v>0.50697084917617241</v>
      </c>
    </row>
    <row r="53" spans="2:32" x14ac:dyDescent="0.3">
      <c r="B53" s="188" t="s">
        <v>205</v>
      </c>
      <c r="C53" s="189" t="s">
        <v>216</v>
      </c>
      <c r="D53" s="189">
        <v>1</v>
      </c>
      <c r="E53" s="189">
        <v>310000</v>
      </c>
      <c r="F53" s="190">
        <f>Tableau4[[#This Row],[Economies totales (m3)]]/Tableau4[[#This Row],[Nombres appareils installés]]</f>
        <v>1068</v>
      </c>
      <c r="G53" s="191">
        <v>1068</v>
      </c>
      <c r="H53" s="189">
        <f t="shared" si="0"/>
        <v>4385.3999999999996</v>
      </c>
      <c r="I53" s="189">
        <v>2400</v>
      </c>
      <c r="J53" s="189">
        <f>Tableau4[[#This Row],[Surcoût moyens de l''équipement ($)]]+Tableau4[[#This Row],[Surcoût moyen de l''installation ($)]]</f>
        <v>6785.4</v>
      </c>
      <c r="K53" s="189">
        <f>Tableau4[[#This Row],[Surcoût par appareil ($)]]*Tableau4[[#This Row],[Nombres appareils installés]]</f>
        <v>6785.4</v>
      </c>
      <c r="L53" s="191">
        <v>1700</v>
      </c>
      <c r="M53" s="189">
        <f t="shared" si="1"/>
        <v>2450</v>
      </c>
      <c r="N53" s="189">
        <f>Tableau4[[#This Row],[AF 0 ($)]]/Tableau4[[#This Row],[Nombres appareils installés]]</f>
        <v>2450</v>
      </c>
      <c r="O53" s="192">
        <f>(Tableau4[[#This Row],[AF accordée ($)]])/($J$6*D53)</f>
        <v>0.42463905680171854</v>
      </c>
      <c r="P53" s="192">
        <f>Tableau4[[#This Row],[Couverture 0 (%)]]*Tableau4[[#This Row],[Nombres appareils installés]]</f>
        <v>0.42463905680171854</v>
      </c>
      <c r="Q53" s="189">
        <f>($Q$4+$R$4*(Tableau4[[#This Row],[Capacité (BTU)]]/1000))*Tableau4[[#This Row],[Nombres appareils installés]]</f>
        <v>3550</v>
      </c>
      <c r="R53" s="189">
        <f>Tableau4[[#This Row],[AF 1 ($)]]/Tableau4[[#This Row],[Nombres appareils installés]]</f>
        <v>3550</v>
      </c>
      <c r="S53" s="192">
        <f>Tableau4[[#This Row],[AF 1 ($)]]/(J53*D53)</f>
        <v>0.52318212633006167</v>
      </c>
      <c r="T53" s="192">
        <f>Tableau4[[#This Row],[Couverture 1 (%)]]*Tableau4[[#This Row],[Nombres appareils installés]]</f>
        <v>0.52318212633006167</v>
      </c>
      <c r="U53" s="189">
        <f>($U$4+($V$4*(Tableau4[[#This Row],[Capacité (BTU)]]/1000)))*Tableau4[[#This Row],[Nombres appareils installés]]</f>
        <v>4325</v>
      </c>
      <c r="V53" s="189">
        <f>Tableau4[[#This Row],[AF 2 ($)]]/Tableau4[[#This Row],[Nombres appareils installés]]</f>
        <v>4325</v>
      </c>
      <c r="W53" s="193">
        <f>Tableau4[[#This Row],[AF 2 par appareil ($)]]/Tableau4[[#This Row],[Surcoût par appareil ($)]]</f>
        <v>0.63739794264155392</v>
      </c>
      <c r="X53" s="193">
        <f>Tableau4[[#This Row],[Couverture 2 (%)]]*Tableau4[[#This Row],[Nombres appareils installés]]</f>
        <v>0.63739794264155392</v>
      </c>
      <c r="Y53" s="189">
        <f>($Y$4+$Z$4*(Tableau4[[#This Row],[Capacité (BTU)]]/1000))*Tableau4[[#This Row],[Nombres appareils installés]]</f>
        <v>4050</v>
      </c>
      <c r="Z53" s="189">
        <f>Tableau4[[#This Row],[AF 3 ($)]]/Tableau4[[#This Row],[Nombres appareils installés]]</f>
        <v>4050</v>
      </c>
      <c r="AA53" s="194">
        <f>Tableau4[[#This Row],[AF 3 par appareil ($)]]/Tableau4[[#This Row],[Surcoût par appareil ($)]]</f>
        <v>0.59686974975683083</v>
      </c>
      <c r="AB53" s="194">
        <f>Tableau4[[#This Row],[Couverture 3 (%)]]*Tableau4[[#This Row],[Nombres appareils installés]]</f>
        <v>0.59686974975683083</v>
      </c>
      <c r="AC53" s="189">
        <f>($AC$4+$AD$4*(Tableau4[[#This Row],[Capacité (BTU)]]/1000))*Tableau4[[#This Row],[Nombres appareils installés]]</f>
        <v>3440</v>
      </c>
      <c r="AD53" s="189">
        <f>Tableau4[[#This Row],[AF 4 ($)]]/Tableau4[[#This Row],[Nombres appareils installés]]</f>
        <v>3440</v>
      </c>
      <c r="AE53" s="195">
        <f>Tableau4[[#This Row],[Couverture 4 (%)]]*Tableau4[[#This Row],[Nombres appareils installés]]</f>
        <v>0.50697084917617241</v>
      </c>
      <c r="AF53" s="194">
        <f>Tableau4[[#This Row],[AF 4 par appareil  ($)]]/Tableau4[[#This Row],[Surcoût par appareil ($)]]</f>
        <v>0.50697084917617241</v>
      </c>
    </row>
    <row r="54" spans="2:32" x14ac:dyDescent="0.3">
      <c r="B54" s="188" t="s">
        <v>205</v>
      </c>
      <c r="C54" s="189" t="s">
        <v>216</v>
      </c>
      <c r="D54" s="189">
        <v>1</v>
      </c>
      <c r="E54" s="189">
        <v>310000</v>
      </c>
      <c r="F54" s="190">
        <f>Tableau4[[#This Row],[Economies totales (m3)]]/Tableau4[[#This Row],[Nombres appareils installés]]</f>
        <v>1068</v>
      </c>
      <c r="G54" s="191">
        <v>1068</v>
      </c>
      <c r="H54" s="189">
        <f t="shared" si="0"/>
        <v>4385.3999999999996</v>
      </c>
      <c r="I54" s="189">
        <v>2400</v>
      </c>
      <c r="J54" s="189">
        <f>Tableau4[[#This Row],[Surcoût moyens de l''équipement ($)]]+Tableau4[[#This Row],[Surcoût moyen de l''installation ($)]]</f>
        <v>6785.4</v>
      </c>
      <c r="K54" s="189">
        <f>Tableau4[[#This Row],[Surcoût par appareil ($)]]*Tableau4[[#This Row],[Nombres appareils installés]]</f>
        <v>6785.4</v>
      </c>
      <c r="L54" s="191">
        <v>1700</v>
      </c>
      <c r="M54" s="189">
        <f t="shared" si="1"/>
        <v>2450</v>
      </c>
      <c r="N54" s="189">
        <f>Tableau4[[#This Row],[AF 0 ($)]]/Tableau4[[#This Row],[Nombres appareils installés]]</f>
        <v>2450</v>
      </c>
      <c r="O54" s="192">
        <f>(Tableau4[[#This Row],[AF accordée ($)]])/($J$6*D54)</f>
        <v>0.42463905680171854</v>
      </c>
      <c r="P54" s="192">
        <f>Tableau4[[#This Row],[Couverture 0 (%)]]*Tableau4[[#This Row],[Nombres appareils installés]]</f>
        <v>0.42463905680171854</v>
      </c>
      <c r="Q54" s="189">
        <f>($Q$4+$R$4*(Tableau4[[#This Row],[Capacité (BTU)]]/1000))*Tableau4[[#This Row],[Nombres appareils installés]]</f>
        <v>3550</v>
      </c>
      <c r="R54" s="189">
        <f>Tableau4[[#This Row],[AF 1 ($)]]/Tableau4[[#This Row],[Nombres appareils installés]]</f>
        <v>3550</v>
      </c>
      <c r="S54" s="192">
        <f>Tableau4[[#This Row],[AF 1 ($)]]/(J54*D54)</f>
        <v>0.52318212633006167</v>
      </c>
      <c r="T54" s="192">
        <f>Tableau4[[#This Row],[Couverture 1 (%)]]*Tableau4[[#This Row],[Nombres appareils installés]]</f>
        <v>0.52318212633006167</v>
      </c>
      <c r="U54" s="189">
        <f>($U$4+($V$4*(Tableau4[[#This Row],[Capacité (BTU)]]/1000)))*Tableau4[[#This Row],[Nombres appareils installés]]</f>
        <v>4325</v>
      </c>
      <c r="V54" s="189">
        <f>Tableau4[[#This Row],[AF 2 ($)]]/Tableau4[[#This Row],[Nombres appareils installés]]</f>
        <v>4325</v>
      </c>
      <c r="W54" s="193">
        <f>Tableau4[[#This Row],[AF 2 par appareil ($)]]/Tableau4[[#This Row],[Surcoût par appareil ($)]]</f>
        <v>0.63739794264155392</v>
      </c>
      <c r="X54" s="193">
        <f>Tableau4[[#This Row],[Couverture 2 (%)]]*Tableau4[[#This Row],[Nombres appareils installés]]</f>
        <v>0.63739794264155392</v>
      </c>
      <c r="Y54" s="189">
        <f>($Y$4+$Z$4*(Tableau4[[#This Row],[Capacité (BTU)]]/1000))*Tableau4[[#This Row],[Nombres appareils installés]]</f>
        <v>4050</v>
      </c>
      <c r="Z54" s="189">
        <f>Tableau4[[#This Row],[AF 3 ($)]]/Tableau4[[#This Row],[Nombres appareils installés]]</f>
        <v>4050</v>
      </c>
      <c r="AA54" s="194">
        <f>Tableau4[[#This Row],[AF 3 par appareil ($)]]/Tableau4[[#This Row],[Surcoût par appareil ($)]]</f>
        <v>0.59686974975683083</v>
      </c>
      <c r="AB54" s="194">
        <f>Tableau4[[#This Row],[Couverture 3 (%)]]*Tableau4[[#This Row],[Nombres appareils installés]]</f>
        <v>0.59686974975683083</v>
      </c>
      <c r="AC54" s="189">
        <f>($AC$4+$AD$4*(Tableau4[[#This Row],[Capacité (BTU)]]/1000))*Tableau4[[#This Row],[Nombres appareils installés]]</f>
        <v>3440</v>
      </c>
      <c r="AD54" s="189">
        <f>Tableau4[[#This Row],[AF 4 ($)]]/Tableau4[[#This Row],[Nombres appareils installés]]</f>
        <v>3440</v>
      </c>
      <c r="AE54" s="195">
        <f>Tableau4[[#This Row],[Couverture 4 (%)]]*Tableau4[[#This Row],[Nombres appareils installés]]</f>
        <v>0.50697084917617241</v>
      </c>
      <c r="AF54" s="194">
        <f>Tableau4[[#This Row],[AF 4 par appareil  ($)]]/Tableau4[[#This Row],[Surcoût par appareil ($)]]</f>
        <v>0.50697084917617241</v>
      </c>
    </row>
    <row r="55" spans="2:32" x14ac:dyDescent="0.3">
      <c r="B55" s="188" t="s">
        <v>205</v>
      </c>
      <c r="C55" s="189" t="s">
        <v>216</v>
      </c>
      <c r="D55" s="189">
        <v>2</v>
      </c>
      <c r="E55" s="189">
        <v>310000</v>
      </c>
      <c r="F55" s="190">
        <f>Tableau4[[#This Row],[Economies totales (m3)]]/Tableau4[[#This Row],[Nombres appareils installés]]</f>
        <v>1068</v>
      </c>
      <c r="G55" s="191">
        <v>2136</v>
      </c>
      <c r="H55" s="189">
        <f t="shared" si="0"/>
        <v>4385.3999999999996</v>
      </c>
      <c r="I55" s="189">
        <v>2400</v>
      </c>
      <c r="J55" s="189">
        <f>Tableau4[[#This Row],[Surcoût moyens de l''équipement ($)]]+Tableau4[[#This Row],[Surcoût moyen de l''installation ($)]]</f>
        <v>6785.4</v>
      </c>
      <c r="K55" s="189">
        <f>Tableau4[[#This Row],[Surcoût par appareil ($)]]*Tableau4[[#This Row],[Nombres appareils installés]]</f>
        <v>13570.8</v>
      </c>
      <c r="L55" s="191">
        <v>3400</v>
      </c>
      <c r="M55" s="189">
        <f t="shared" si="1"/>
        <v>4900</v>
      </c>
      <c r="N55" s="189">
        <f>Tableau4[[#This Row],[AF 0 ($)]]/Tableau4[[#This Row],[Nombres appareils installés]]</f>
        <v>2450</v>
      </c>
      <c r="O55" s="192">
        <f>(Tableau4[[#This Row],[AF accordée ($)]])/($J$6*D55)</f>
        <v>0.42463905680171854</v>
      </c>
      <c r="P55" s="192">
        <f>Tableau4[[#This Row],[Couverture 0 (%)]]*Tableau4[[#This Row],[Nombres appareils installés]]</f>
        <v>0.84927811360343708</v>
      </c>
      <c r="Q55" s="189">
        <f>($Q$4+$R$4*(Tableau4[[#This Row],[Capacité (BTU)]]/1000))*Tableau4[[#This Row],[Nombres appareils installés]]</f>
        <v>7100</v>
      </c>
      <c r="R55" s="189">
        <f>Tableau4[[#This Row],[AF 1 ($)]]/Tableau4[[#This Row],[Nombres appareils installés]]</f>
        <v>3550</v>
      </c>
      <c r="S55" s="192">
        <f>Tableau4[[#This Row],[AF 1 ($)]]/(J55*D55)</f>
        <v>0.52318212633006167</v>
      </c>
      <c r="T55" s="192">
        <f>Tableau4[[#This Row],[Couverture 1 (%)]]*Tableau4[[#This Row],[Nombres appareils installés]]</f>
        <v>1.0463642526601233</v>
      </c>
      <c r="U55" s="189">
        <f>($U$4+($V$4*(Tableau4[[#This Row],[Capacité (BTU)]]/1000)))*Tableau4[[#This Row],[Nombres appareils installés]]</f>
        <v>8650</v>
      </c>
      <c r="V55" s="189">
        <f>Tableau4[[#This Row],[AF 2 ($)]]/Tableau4[[#This Row],[Nombres appareils installés]]</f>
        <v>4325</v>
      </c>
      <c r="W55" s="193">
        <f>Tableau4[[#This Row],[AF 2 par appareil ($)]]/Tableau4[[#This Row],[Surcoût par appareil ($)]]</f>
        <v>0.63739794264155392</v>
      </c>
      <c r="X55" s="193">
        <f>Tableau4[[#This Row],[Couverture 2 (%)]]*Tableau4[[#This Row],[Nombres appareils installés]]</f>
        <v>1.2747958852831078</v>
      </c>
      <c r="Y55" s="189">
        <f>($Y$4+$Z$4*(Tableau4[[#This Row],[Capacité (BTU)]]/1000))*Tableau4[[#This Row],[Nombres appareils installés]]</f>
        <v>8100</v>
      </c>
      <c r="Z55" s="189">
        <f>Tableau4[[#This Row],[AF 3 ($)]]/Tableau4[[#This Row],[Nombres appareils installés]]</f>
        <v>4050</v>
      </c>
      <c r="AA55" s="194">
        <f>Tableau4[[#This Row],[AF 3 par appareil ($)]]/Tableau4[[#This Row],[Surcoût par appareil ($)]]</f>
        <v>0.59686974975683083</v>
      </c>
      <c r="AB55" s="194">
        <f>Tableau4[[#This Row],[Couverture 3 (%)]]*Tableau4[[#This Row],[Nombres appareils installés]]</f>
        <v>1.1937394995136617</v>
      </c>
      <c r="AC55" s="189">
        <f>($AC$4+$AD$4*(Tableau4[[#This Row],[Capacité (BTU)]]/1000))*Tableau4[[#This Row],[Nombres appareils installés]]</f>
        <v>6880</v>
      </c>
      <c r="AD55" s="189">
        <f>Tableau4[[#This Row],[AF 4 ($)]]/Tableau4[[#This Row],[Nombres appareils installés]]</f>
        <v>3440</v>
      </c>
      <c r="AE55" s="195">
        <f>Tableau4[[#This Row],[Couverture 4 (%)]]*Tableau4[[#This Row],[Nombres appareils installés]]</f>
        <v>1.0139416983523448</v>
      </c>
      <c r="AF55" s="194">
        <f>Tableau4[[#This Row],[AF 4 par appareil  ($)]]/Tableau4[[#This Row],[Surcoût par appareil ($)]]</f>
        <v>0.50697084917617241</v>
      </c>
    </row>
    <row r="56" spans="2:32" x14ac:dyDescent="0.3">
      <c r="B56" s="188" t="s">
        <v>205</v>
      </c>
      <c r="C56" s="189" t="s">
        <v>234</v>
      </c>
      <c r="D56" s="189">
        <v>8</v>
      </c>
      <c r="E56" s="189">
        <v>310000</v>
      </c>
      <c r="F56" s="190">
        <f>Tableau4[[#This Row],[Economies totales (m3)]]/Tableau4[[#This Row],[Nombres appareils installés]]</f>
        <v>1068</v>
      </c>
      <c r="G56" s="191">
        <v>8544</v>
      </c>
      <c r="H56" s="189">
        <f t="shared" si="0"/>
        <v>4385.3999999999996</v>
      </c>
      <c r="I56" s="189">
        <v>2400</v>
      </c>
      <c r="J56" s="189">
        <f>Tableau4[[#This Row],[Surcoût moyens de l''équipement ($)]]+Tableau4[[#This Row],[Surcoût moyen de l''installation ($)]]</f>
        <v>6785.4</v>
      </c>
      <c r="K56" s="189">
        <f>Tableau4[[#This Row],[Surcoût par appareil ($)]]*Tableau4[[#This Row],[Nombres appareils installés]]</f>
        <v>54283.199999999997</v>
      </c>
      <c r="L56" s="191">
        <v>13600</v>
      </c>
      <c r="M56" s="189">
        <f t="shared" si="1"/>
        <v>19600</v>
      </c>
      <c r="N56" s="189">
        <f>Tableau4[[#This Row],[AF 0 ($)]]/Tableau4[[#This Row],[Nombres appareils installés]]</f>
        <v>2450</v>
      </c>
      <c r="O56" s="192">
        <f>(Tableau4[[#This Row],[AF accordée ($)]])/($J$6*D56)</f>
        <v>0.42463905680171854</v>
      </c>
      <c r="P56" s="192">
        <f>Tableau4[[#This Row],[Couverture 0 (%)]]*Tableau4[[#This Row],[Nombres appareils installés]]</f>
        <v>3.3971124544137483</v>
      </c>
      <c r="Q56" s="189">
        <f>($Q$4+$R$4*(Tableau4[[#This Row],[Capacité (BTU)]]/1000))*Tableau4[[#This Row],[Nombres appareils installés]]</f>
        <v>28400</v>
      </c>
      <c r="R56" s="189">
        <f>Tableau4[[#This Row],[AF 1 ($)]]/Tableau4[[#This Row],[Nombres appareils installés]]</f>
        <v>3550</v>
      </c>
      <c r="S56" s="192">
        <f>Tableau4[[#This Row],[AF 1 ($)]]/(J56*D56)</f>
        <v>0.52318212633006167</v>
      </c>
      <c r="T56" s="192">
        <f>Tableau4[[#This Row],[Couverture 1 (%)]]*Tableau4[[#This Row],[Nombres appareils installés]]</f>
        <v>4.1854570106404934</v>
      </c>
      <c r="U56" s="189">
        <f>($U$4+($V$4*(Tableau4[[#This Row],[Capacité (BTU)]]/1000)))*Tableau4[[#This Row],[Nombres appareils installés]]</f>
        <v>34600</v>
      </c>
      <c r="V56" s="189">
        <f>Tableau4[[#This Row],[AF 2 ($)]]/Tableau4[[#This Row],[Nombres appareils installés]]</f>
        <v>4325</v>
      </c>
      <c r="W56" s="193">
        <f>Tableau4[[#This Row],[AF 2 par appareil ($)]]/Tableau4[[#This Row],[Surcoût par appareil ($)]]</f>
        <v>0.63739794264155392</v>
      </c>
      <c r="X56" s="193">
        <f>Tableau4[[#This Row],[Couverture 2 (%)]]*Tableau4[[#This Row],[Nombres appareils installés]]</f>
        <v>5.0991835411324313</v>
      </c>
      <c r="Y56" s="189">
        <f>($Y$4+$Z$4*(Tableau4[[#This Row],[Capacité (BTU)]]/1000))*Tableau4[[#This Row],[Nombres appareils installés]]</f>
        <v>32400</v>
      </c>
      <c r="Z56" s="189">
        <f>Tableau4[[#This Row],[AF 3 ($)]]/Tableau4[[#This Row],[Nombres appareils installés]]</f>
        <v>4050</v>
      </c>
      <c r="AA56" s="194">
        <f>Tableau4[[#This Row],[AF 3 par appareil ($)]]/Tableau4[[#This Row],[Surcoût par appareil ($)]]</f>
        <v>0.59686974975683083</v>
      </c>
      <c r="AB56" s="194">
        <f>Tableau4[[#This Row],[Couverture 3 (%)]]*Tableau4[[#This Row],[Nombres appareils installés]]</f>
        <v>4.7749579980546466</v>
      </c>
      <c r="AC56" s="189">
        <f>($AC$4+$AD$4*(Tableau4[[#This Row],[Capacité (BTU)]]/1000))*Tableau4[[#This Row],[Nombres appareils installés]]</f>
        <v>27520</v>
      </c>
      <c r="AD56" s="189">
        <f>Tableau4[[#This Row],[AF 4 ($)]]/Tableau4[[#This Row],[Nombres appareils installés]]</f>
        <v>3440</v>
      </c>
      <c r="AE56" s="195">
        <f>Tableau4[[#This Row],[Couverture 4 (%)]]*Tableau4[[#This Row],[Nombres appareils installés]]</f>
        <v>4.0557667934093793</v>
      </c>
      <c r="AF56" s="194">
        <f>Tableau4[[#This Row],[AF 4 par appareil  ($)]]/Tableau4[[#This Row],[Surcoût par appareil ($)]]</f>
        <v>0.50697084917617241</v>
      </c>
    </row>
    <row r="57" spans="2:32" x14ac:dyDescent="0.3">
      <c r="B57" s="196" t="s">
        <v>235</v>
      </c>
      <c r="C57" s="189" t="s">
        <v>236</v>
      </c>
      <c r="D57" s="189">
        <v>1</v>
      </c>
      <c r="E57" s="189">
        <v>55000</v>
      </c>
      <c r="F57" s="197">
        <f>Tableau4[[#This Row],[Economies totales (m3)]]/Tableau4[[#This Row],[Nombres appareils installés]]</f>
        <v>277.75</v>
      </c>
      <c r="G57" s="191">
        <v>277.75</v>
      </c>
      <c r="H57" s="189">
        <f t="shared" si="0"/>
        <v>1618.65</v>
      </c>
      <c r="I57" s="189">
        <v>2400</v>
      </c>
      <c r="J57" s="189">
        <f>Tableau4[[#This Row],[Surcoût moyens de l''équipement ($)]]+Tableau4[[#This Row],[Surcoût moyen de l''installation ($)]]</f>
        <v>4018.65</v>
      </c>
      <c r="K57" s="189">
        <f>Tableau4[[#This Row],[Surcoût par appareil ($)]]*Tableau4[[#This Row],[Nombres appareils installés]]</f>
        <v>4018.65</v>
      </c>
      <c r="L57" s="191">
        <v>1700</v>
      </c>
      <c r="M57" s="189">
        <f t="shared" si="1"/>
        <v>1175</v>
      </c>
      <c r="N57" s="189">
        <f>Tableau4[[#This Row],[AF 0 ($)]]/Tableau4[[#This Row],[Nombres appareils installés]]</f>
        <v>1175</v>
      </c>
      <c r="O57" s="192">
        <f>(Tableau4[[#This Row],[AF accordée ($)]])/($J$6*D57)</f>
        <v>0.42463905680171854</v>
      </c>
      <c r="P57" s="192">
        <f>Tableau4[[#This Row],[Couverture 0 (%)]]*Tableau4[[#This Row],[Nombres appareils installés]]</f>
        <v>0.42463905680171854</v>
      </c>
      <c r="Q57" s="189">
        <f>($Q$4+$R$4*(Tableau4[[#This Row],[Capacité (BTU)]]/1000))*Tableau4[[#This Row],[Nombres appareils installés]]</f>
        <v>2275</v>
      </c>
      <c r="R57" s="189">
        <f>Tableau4[[#This Row],[AF 1 ($)]]/Tableau4[[#This Row],[Nombres appareils installés]]</f>
        <v>2275</v>
      </c>
      <c r="S57" s="192">
        <f>Tableau4[[#This Row],[AF 1 ($)]]/(J57*D57)</f>
        <v>0.56611050974829857</v>
      </c>
      <c r="T57" s="192">
        <f>Tableau4[[#This Row],[Couverture 1 (%)]]*Tableau4[[#This Row],[Nombres appareils installés]]</f>
        <v>0.56611050974829857</v>
      </c>
      <c r="U57" s="189">
        <f>($U$4+($V$4*(Tableau4[[#This Row],[Capacité (BTU)]]/1000)))*Tableau4[[#This Row],[Nombres appareils installés]]</f>
        <v>2412.5</v>
      </c>
      <c r="V57" s="189">
        <f>Tableau4[[#This Row],[AF 2 ($)]]/Tableau4[[#This Row],[Nombres appareils installés]]</f>
        <v>2412.5</v>
      </c>
      <c r="W57" s="193">
        <f>Tableau4[[#This Row],[AF 2 par appareil ($)]]/Tableau4[[#This Row],[Surcoût par appareil ($)]]</f>
        <v>0.60032598011770122</v>
      </c>
      <c r="X57" s="193">
        <f>Tableau4[[#This Row],[Couverture 2 (%)]]*Tableau4[[#This Row],[Nombres appareils installés]]</f>
        <v>0.60032598011770122</v>
      </c>
      <c r="Y57" s="189">
        <f>($Y$4+$Z$4*(Tableau4[[#This Row],[Capacité (BTU)]]/1000))*Tableau4[[#This Row],[Nombres appareils installés]]</f>
        <v>2775</v>
      </c>
      <c r="Z57" s="189">
        <f>Tableau4[[#This Row],[AF 3 ($)]]/Tableau4[[#This Row],[Nombres appareils installés]]</f>
        <v>2775</v>
      </c>
      <c r="AA57" s="194">
        <f>Tableau4[[#This Row],[AF 3 par appareil ($)]]/Tableau4[[#This Row],[Surcoût par appareil ($)]]</f>
        <v>0.69053040200067184</v>
      </c>
      <c r="AB57" s="194">
        <f>Tableau4[[#This Row],[Couverture 3 (%)]]*Tableau4[[#This Row],[Nombres appareils installés]]</f>
        <v>0.69053040200067184</v>
      </c>
      <c r="AC57" s="189">
        <f>($AC$4+$AD$4*(Tableau4[[#This Row],[Capacité (BTU)]]/1000))*Tableau4[[#This Row],[Nombres appareils installés]]</f>
        <v>2420</v>
      </c>
      <c r="AD57" s="189">
        <f>Tableau4[[#This Row],[AF 4 ($)]]/Tableau4[[#This Row],[Nombres appareils installés]]</f>
        <v>2420</v>
      </c>
      <c r="AE57" s="195">
        <f>Tableau4[[#This Row],[Couverture 4 (%)]]*Tableau4[[#This Row],[Nombres appareils installés]]</f>
        <v>0.60219227850148682</v>
      </c>
      <c r="AF57" s="194">
        <f>Tableau4[[#This Row],[AF 4 par appareil  ($)]]/Tableau4[[#This Row],[Surcoût par appareil ($)]]</f>
        <v>0.60219227850148682</v>
      </c>
    </row>
    <row r="58" spans="2:32" x14ac:dyDescent="0.3">
      <c r="B58" s="196" t="s">
        <v>235</v>
      </c>
      <c r="C58" s="189" t="s">
        <v>237</v>
      </c>
      <c r="D58" s="189">
        <v>1</v>
      </c>
      <c r="E58" s="189">
        <v>55000</v>
      </c>
      <c r="F58" s="197">
        <f>Tableau4[[#This Row],[Economies totales (m3)]]/Tableau4[[#This Row],[Nombres appareils installés]]</f>
        <v>277.75</v>
      </c>
      <c r="G58" s="191">
        <v>277.75</v>
      </c>
      <c r="H58" s="189">
        <f t="shared" si="0"/>
        <v>1618.65</v>
      </c>
      <c r="I58" s="189">
        <v>2400</v>
      </c>
      <c r="J58" s="189">
        <f>Tableau4[[#This Row],[Surcoût moyens de l''équipement ($)]]+Tableau4[[#This Row],[Surcoût moyen de l''installation ($)]]</f>
        <v>4018.65</v>
      </c>
      <c r="K58" s="189">
        <f>Tableau4[[#This Row],[Surcoût par appareil ($)]]*Tableau4[[#This Row],[Nombres appareils installés]]</f>
        <v>4018.65</v>
      </c>
      <c r="L58" s="191">
        <v>1700</v>
      </c>
      <c r="M58" s="189">
        <f t="shared" si="1"/>
        <v>1175</v>
      </c>
      <c r="N58" s="189">
        <f>Tableau4[[#This Row],[AF 0 ($)]]/Tableau4[[#This Row],[Nombres appareils installés]]</f>
        <v>1175</v>
      </c>
      <c r="O58" s="192">
        <f>(Tableau4[[#This Row],[AF accordée ($)]])/($J$6*D58)</f>
        <v>0.42463905680171854</v>
      </c>
      <c r="P58" s="192">
        <f>Tableau4[[#This Row],[Couverture 0 (%)]]*Tableau4[[#This Row],[Nombres appareils installés]]</f>
        <v>0.42463905680171854</v>
      </c>
      <c r="Q58" s="189">
        <f>($Q$4+$R$4*(Tableau4[[#This Row],[Capacité (BTU)]]/1000))*Tableau4[[#This Row],[Nombres appareils installés]]</f>
        <v>2275</v>
      </c>
      <c r="R58" s="189">
        <f>Tableau4[[#This Row],[AF 1 ($)]]/Tableau4[[#This Row],[Nombres appareils installés]]</f>
        <v>2275</v>
      </c>
      <c r="S58" s="192">
        <f>Tableau4[[#This Row],[AF 1 ($)]]/(J58*D58)</f>
        <v>0.56611050974829857</v>
      </c>
      <c r="T58" s="192">
        <f>Tableau4[[#This Row],[Couverture 1 (%)]]*Tableau4[[#This Row],[Nombres appareils installés]]</f>
        <v>0.56611050974829857</v>
      </c>
      <c r="U58" s="189">
        <f>($U$4+($V$4*(Tableau4[[#This Row],[Capacité (BTU)]]/1000)))*Tableau4[[#This Row],[Nombres appareils installés]]</f>
        <v>2412.5</v>
      </c>
      <c r="V58" s="189">
        <f>Tableau4[[#This Row],[AF 2 ($)]]/Tableau4[[#This Row],[Nombres appareils installés]]</f>
        <v>2412.5</v>
      </c>
      <c r="W58" s="193">
        <f>Tableau4[[#This Row],[AF 2 par appareil ($)]]/Tableau4[[#This Row],[Surcoût par appareil ($)]]</f>
        <v>0.60032598011770122</v>
      </c>
      <c r="X58" s="193">
        <f>Tableau4[[#This Row],[Couverture 2 (%)]]*Tableau4[[#This Row],[Nombres appareils installés]]</f>
        <v>0.60032598011770122</v>
      </c>
      <c r="Y58" s="189">
        <f>($Y$4+$Z$4*(Tableau4[[#This Row],[Capacité (BTU)]]/1000))*Tableau4[[#This Row],[Nombres appareils installés]]</f>
        <v>2775</v>
      </c>
      <c r="Z58" s="189">
        <f>Tableau4[[#This Row],[AF 3 ($)]]/Tableau4[[#This Row],[Nombres appareils installés]]</f>
        <v>2775</v>
      </c>
      <c r="AA58" s="194">
        <f>Tableau4[[#This Row],[AF 3 par appareil ($)]]/Tableau4[[#This Row],[Surcoût par appareil ($)]]</f>
        <v>0.69053040200067184</v>
      </c>
      <c r="AB58" s="194">
        <f>Tableau4[[#This Row],[Couverture 3 (%)]]*Tableau4[[#This Row],[Nombres appareils installés]]</f>
        <v>0.69053040200067184</v>
      </c>
      <c r="AC58" s="189">
        <f>($AC$4+$AD$4*(Tableau4[[#This Row],[Capacité (BTU)]]/1000))*Tableau4[[#This Row],[Nombres appareils installés]]</f>
        <v>2420</v>
      </c>
      <c r="AD58" s="189">
        <f>Tableau4[[#This Row],[AF 4 ($)]]/Tableau4[[#This Row],[Nombres appareils installés]]</f>
        <v>2420</v>
      </c>
      <c r="AE58" s="195">
        <f>Tableau4[[#This Row],[Couverture 4 (%)]]*Tableau4[[#This Row],[Nombres appareils installés]]</f>
        <v>0.60219227850148682</v>
      </c>
      <c r="AF58" s="194">
        <f>Tableau4[[#This Row],[AF 4 par appareil  ($)]]/Tableau4[[#This Row],[Surcoût par appareil ($)]]</f>
        <v>0.60219227850148682</v>
      </c>
    </row>
    <row r="59" spans="2:32" x14ac:dyDescent="0.3">
      <c r="B59" s="196" t="s">
        <v>235</v>
      </c>
      <c r="C59" s="189" t="s">
        <v>238</v>
      </c>
      <c r="D59" s="189">
        <v>1</v>
      </c>
      <c r="E59" s="189">
        <v>55000</v>
      </c>
      <c r="F59" s="197">
        <f>Tableau4[[#This Row],[Economies totales (m3)]]/Tableau4[[#This Row],[Nombres appareils installés]]</f>
        <v>277.75</v>
      </c>
      <c r="G59" s="191">
        <v>277.75</v>
      </c>
      <c r="H59" s="189">
        <f t="shared" si="0"/>
        <v>1618.65</v>
      </c>
      <c r="I59" s="189">
        <v>2400</v>
      </c>
      <c r="J59" s="189">
        <f>Tableau4[[#This Row],[Surcoût moyens de l''équipement ($)]]+Tableau4[[#This Row],[Surcoût moyen de l''installation ($)]]</f>
        <v>4018.65</v>
      </c>
      <c r="K59" s="189">
        <f>Tableau4[[#This Row],[Surcoût par appareil ($)]]*Tableau4[[#This Row],[Nombres appareils installés]]</f>
        <v>4018.65</v>
      </c>
      <c r="L59" s="191">
        <v>1700</v>
      </c>
      <c r="M59" s="189">
        <f t="shared" si="1"/>
        <v>1175</v>
      </c>
      <c r="N59" s="189">
        <f>Tableau4[[#This Row],[AF 0 ($)]]/Tableau4[[#This Row],[Nombres appareils installés]]</f>
        <v>1175</v>
      </c>
      <c r="O59" s="192">
        <f>(Tableau4[[#This Row],[AF accordée ($)]])/($J$6*D59)</f>
        <v>0.42463905680171854</v>
      </c>
      <c r="P59" s="192">
        <f>Tableau4[[#This Row],[Couverture 0 (%)]]*Tableau4[[#This Row],[Nombres appareils installés]]</f>
        <v>0.42463905680171854</v>
      </c>
      <c r="Q59" s="189">
        <f>($Q$4+$R$4*(Tableau4[[#This Row],[Capacité (BTU)]]/1000))*Tableau4[[#This Row],[Nombres appareils installés]]</f>
        <v>2275</v>
      </c>
      <c r="R59" s="189">
        <f>Tableau4[[#This Row],[AF 1 ($)]]/Tableau4[[#This Row],[Nombres appareils installés]]</f>
        <v>2275</v>
      </c>
      <c r="S59" s="192">
        <f>Tableau4[[#This Row],[AF 1 ($)]]/(J59*D59)</f>
        <v>0.56611050974829857</v>
      </c>
      <c r="T59" s="192">
        <f>Tableau4[[#This Row],[Couverture 1 (%)]]*Tableau4[[#This Row],[Nombres appareils installés]]</f>
        <v>0.56611050974829857</v>
      </c>
      <c r="U59" s="189">
        <f>($U$4+($V$4*(Tableau4[[#This Row],[Capacité (BTU)]]/1000)))*Tableau4[[#This Row],[Nombres appareils installés]]</f>
        <v>2412.5</v>
      </c>
      <c r="V59" s="189">
        <f>Tableau4[[#This Row],[AF 2 ($)]]/Tableau4[[#This Row],[Nombres appareils installés]]</f>
        <v>2412.5</v>
      </c>
      <c r="W59" s="193">
        <f>Tableau4[[#This Row],[AF 2 par appareil ($)]]/Tableau4[[#This Row],[Surcoût par appareil ($)]]</f>
        <v>0.60032598011770122</v>
      </c>
      <c r="X59" s="193">
        <f>Tableau4[[#This Row],[Couverture 2 (%)]]*Tableau4[[#This Row],[Nombres appareils installés]]</f>
        <v>0.60032598011770122</v>
      </c>
      <c r="Y59" s="189">
        <f>($Y$4+$Z$4*(Tableau4[[#This Row],[Capacité (BTU)]]/1000))*Tableau4[[#This Row],[Nombres appareils installés]]</f>
        <v>2775</v>
      </c>
      <c r="Z59" s="189">
        <f>Tableau4[[#This Row],[AF 3 ($)]]/Tableau4[[#This Row],[Nombres appareils installés]]</f>
        <v>2775</v>
      </c>
      <c r="AA59" s="194">
        <f>Tableau4[[#This Row],[AF 3 par appareil ($)]]/Tableau4[[#This Row],[Surcoût par appareil ($)]]</f>
        <v>0.69053040200067184</v>
      </c>
      <c r="AB59" s="194">
        <f>Tableau4[[#This Row],[Couverture 3 (%)]]*Tableau4[[#This Row],[Nombres appareils installés]]</f>
        <v>0.69053040200067184</v>
      </c>
      <c r="AC59" s="189">
        <f>($AC$4+$AD$4*(Tableau4[[#This Row],[Capacité (BTU)]]/1000))*Tableau4[[#This Row],[Nombres appareils installés]]</f>
        <v>2420</v>
      </c>
      <c r="AD59" s="189">
        <f>Tableau4[[#This Row],[AF 4 ($)]]/Tableau4[[#This Row],[Nombres appareils installés]]</f>
        <v>2420</v>
      </c>
      <c r="AE59" s="195">
        <f>Tableau4[[#This Row],[Couverture 4 (%)]]*Tableau4[[#This Row],[Nombres appareils installés]]</f>
        <v>0.60219227850148682</v>
      </c>
      <c r="AF59" s="194">
        <f>Tableau4[[#This Row],[AF 4 par appareil  ($)]]/Tableau4[[#This Row],[Surcoût par appareil ($)]]</f>
        <v>0.60219227850148682</v>
      </c>
    </row>
    <row r="60" spans="2:32" x14ac:dyDescent="0.3">
      <c r="B60" s="196" t="s">
        <v>235</v>
      </c>
      <c r="C60" s="189" t="s">
        <v>239</v>
      </c>
      <c r="D60" s="189">
        <v>4</v>
      </c>
      <c r="E60" s="189">
        <v>55000</v>
      </c>
      <c r="F60" s="197">
        <f>Tableau4[[#This Row],[Economies totales (m3)]]/Tableau4[[#This Row],[Nombres appareils installés]]</f>
        <v>277.75</v>
      </c>
      <c r="G60" s="191">
        <v>1111</v>
      </c>
      <c r="H60" s="189">
        <f t="shared" si="0"/>
        <v>1618.65</v>
      </c>
      <c r="I60" s="189">
        <v>2400</v>
      </c>
      <c r="J60" s="189">
        <f>Tableau4[[#This Row],[Surcoût moyens de l''équipement ($)]]+Tableau4[[#This Row],[Surcoût moyen de l''installation ($)]]</f>
        <v>4018.65</v>
      </c>
      <c r="K60" s="189">
        <f>Tableau4[[#This Row],[Surcoût par appareil ($)]]*Tableau4[[#This Row],[Nombres appareils installés]]</f>
        <v>16074.6</v>
      </c>
      <c r="L60" s="191">
        <v>6800</v>
      </c>
      <c r="M60" s="189">
        <f t="shared" si="1"/>
        <v>4700</v>
      </c>
      <c r="N60" s="189">
        <f>Tableau4[[#This Row],[AF 0 ($)]]/Tableau4[[#This Row],[Nombres appareils installés]]</f>
        <v>1175</v>
      </c>
      <c r="O60" s="192">
        <f>(Tableau4[[#This Row],[AF accordée ($)]])/($J$6*D60)</f>
        <v>0.42463905680171854</v>
      </c>
      <c r="P60" s="192">
        <f>Tableau4[[#This Row],[Couverture 0 (%)]]*Tableau4[[#This Row],[Nombres appareils installés]]</f>
        <v>1.6985562272068742</v>
      </c>
      <c r="Q60" s="189">
        <f>($Q$4+$R$4*(Tableau4[[#This Row],[Capacité (BTU)]]/1000))*Tableau4[[#This Row],[Nombres appareils installés]]</f>
        <v>9100</v>
      </c>
      <c r="R60" s="189">
        <f>Tableau4[[#This Row],[AF 1 ($)]]/Tableau4[[#This Row],[Nombres appareils installés]]</f>
        <v>2275</v>
      </c>
      <c r="S60" s="192">
        <f>Tableau4[[#This Row],[AF 1 ($)]]/(J60*D60)</f>
        <v>0.56611050974829857</v>
      </c>
      <c r="T60" s="192">
        <f>Tableau4[[#This Row],[Couverture 1 (%)]]*Tableau4[[#This Row],[Nombres appareils installés]]</f>
        <v>2.2644420389931943</v>
      </c>
      <c r="U60" s="189">
        <f>($U$4+($V$4*(Tableau4[[#This Row],[Capacité (BTU)]]/1000)))*Tableau4[[#This Row],[Nombres appareils installés]]</f>
        <v>9650</v>
      </c>
      <c r="V60" s="189">
        <f>Tableau4[[#This Row],[AF 2 ($)]]/Tableau4[[#This Row],[Nombres appareils installés]]</f>
        <v>2412.5</v>
      </c>
      <c r="W60" s="193">
        <f>Tableau4[[#This Row],[AF 2 par appareil ($)]]/Tableau4[[#This Row],[Surcoût par appareil ($)]]</f>
        <v>0.60032598011770122</v>
      </c>
      <c r="X60" s="193">
        <f>Tableau4[[#This Row],[Couverture 2 (%)]]*Tableau4[[#This Row],[Nombres appareils installés]]</f>
        <v>2.4013039204708049</v>
      </c>
      <c r="Y60" s="189">
        <f>($Y$4+$Z$4*(Tableau4[[#This Row],[Capacité (BTU)]]/1000))*Tableau4[[#This Row],[Nombres appareils installés]]</f>
        <v>11100</v>
      </c>
      <c r="Z60" s="189">
        <f>Tableau4[[#This Row],[AF 3 ($)]]/Tableau4[[#This Row],[Nombres appareils installés]]</f>
        <v>2775</v>
      </c>
      <c r="AA60" s="194">
        <f>Tableau4[[#This Row],[AF 3 par appareil ($)]]/Tableau4[[#This Row],[Surcoût par appareil ($)]]</f>
        <v>0.69053040200067184</v>
      </c>
      <c r="AB60" s="194">
        <f>Tableau4[[#This Row],[Couverture 3 (%)]]*Tableau4[[#This Row],[Nombres appareils installés]]</f>
        <v>2.7621216080026874</v>
      </c>
      <c r="AC60" s="189">
        <f>($AC$4+$AD$4*(Tableau4[[#This Row],[Capacité (BTU)]]/1000))*Tableau4[[#This Row],[Nombres appareils installés]]</f>
        <v>9680</v>
      </c>
      <c r="AD60" s="189">
        <f>Tableau4[[#This Row],[AF 4 ($)]]/Tableau4[[#This Row],[Nombres appareils installés]]</f>
        <v>2420</v>
      </c>
      <c r="AE60" s="195">
        <f>Tableau4[[#This Row],[Couverture 4 (%)]]*Tableau4[[#This Row],[Nombres appareils installés]]</f>
        <v>2.4087691140059473</v>
      </c>
      <c r="AF60" s="194">
        <f>Tableau4[[#This Row],[AF 4 par appareil  ($)]]/Tableau4[[#This Row],[Surcoût par appareil ($)]]</f>
        <v>0.60219227850148682</v>
      </c>
    </row>
    <row r="61" spans="2:32" x14ac:dyDescent="0.3">
      <c r="B61" s="196" t="s">
        <v>235</v>
      </c>
      <c r="C61" s="189" t="s">
        <v>240</v>
      </c>
      <c r="D61" s="189">
        <v>1</v>
      </c>
      <c r="E61" s="189">
        <v>65000</v>
      </c>
      <c r="F61" s="197">
        <f>Tableau4[[#This Row],[Economies totales (m3)]]/Tableau4[[#This Row],[Nombres appareils installés]]</f>
        <v>328.25</v>
      </c>
      <c r="G61" s="191">
        <v>328.25</v>
      </c>
      <c r="H61" s="189">
        <f t="shared" si="0"/>
        <v>1653.65</v>
      </c>
      <c r="I61" s="189">
        <v>2400</v>
      </c>
      <c r="J61" s="189">
        <f>Tableau4[[#This Row],[Surcoût moyens de l''équipement ($)]]+Tableau4[[#This Row],[Surcoût moyen de l''installation ($)]]</f>
        <v>4053.65</v>
      </c>
      <c r="K61" s="189">
        <f>Tableau4[[#This Row],[Surcoût par appareil ($)]]*Tableau4[[#This Row],[Nombres appareils installés]]</f>
        <v>4053.65</v>
      </c>
      <c r="L61" s="191">
        <v>1700</v>
      </c>
      <c r="M61" s="189">
        <f t="shared" si="1"/>
        <v>1225</v>
      </c>
      <c r="N61" s="189">
        <f>Tableau4[[#This Row],[AF 0 ($)]]/Tableau4[[#This Row],[Nombres appareils installés]]</f>
        <v>1225</v>
      </c>
      <c r="O61" s="192">
        <f>(Tableau4[[#This Row],[AF accordée ($)]])/($J$6*D61)</f>
        <v>0.42463905680171854</v>
      </c>
      <c r="P61" s="192">
        <f>Tableau4[[#This Row],[Couverture 0 (%)]]*Tableau4[[#This Row],[Nombres appareils installés]]</f>
        <v>0.42463905680171854</v>
      </c>
      <c r="Q61" s="189">
        <f>($Q$4+$R$4*(Tableau4[[#This Row],[Capacité (BTU)]]/1000))*Tableau4[[#This Row],[Nombres appareils installés]]</f>
        <v>2325</v>
      </c>
      <c r="R61" s="189">
        <f>Tableau4[[#This Row],[AF 1 ($)]]/Tableau4[[#This Row],[Nombres appareils installés]]</f>
        <v>2325</v>
      </c>
      <c r="S61" s="192">
        <f>Tableau4[[#This Row],[AF 1 ($)]]/(J61*D61)</f>
        <v>0.57355716453073158</v>
      </c>
      <c r="T61" s="192">
        <f>Tableau4[[#This Row],[Couverture 1 (%)]]*Tableau4[[#This Row],[Nombres appareils installés]]</f>
        <v>0.57355716453073158</v>
      </c>
      <c r="U61" s="189">
        <f>($U$4+($V$4*(Tableau4[[#This Row],[Capacité (BTU)]]/1000)))*Tableau4[[#This Row],[Nombres appareils installés]]</f>
        <v>2487.5</v>
      </c>
      <c r="V61" s="189">
        <f>Tableau4[[#This Row],[AF 2 ($)]]/Tableau4[[#This Row],[Nombres appareils installés]]</f>
        <v>2487.5</v>
      </c>
      <c r="W61" s="193">
        <f>Tableau4[[#This Row],[AF 2 par appareil ($)]]/Tableau4[[#This Row],[Surcoût par appareil ($)]]</f>
        <v>0.61364449323449233</v>
      </c>
      <c r="X61" s="193">
        <f>Tableau4[[#This Row],[Couverture 2 (%)]]*Tableau4[[#This Row],[Nombres appareils installés]]</f>
        <v>0.61364449323449233</v>
      </c>
      <c r="Y61" s="189">
        <f>($Y$4+$Z$4*(Tableau4[[#This Row],[Capacité (BTU)]]/1000))*Tableau4[[#This Row],[Nombres appareils installés]]</f>
        <v>2825</v>
      </c>
      <c r="Z61" s="189">
        <f>Tableau4[[#This Row],[AF 3 ($)]]/Tableau4[[#This Row],[Nombres appareils installés]]</f>
        <v>2825</v>
      </c>
      <c r="AA61" s="194">
        <f>Tableau4[[#This Row],[AF 3 par appareil ($)]]/Tableau4[[#This Row],[Surcoût par appareil ($)]]</f>
        <v>0.69690279131153399</v>
      </c>
      <c r="AB61" s="194">
        <f>Tableau4[[#This Row],[Couverture 3 (%)]]*Tableau4[[#This Row],[Nombres appareils installés]]</f>
        <v>0.69690279131153399</v>
      </c>
      <c r="AC61" s="189">
        <f>($AC$4+$AD$4*(Tableau4[[#This Row],[Capacité (BTU)]]/1000))*Tableau4[[#This Row],[Nombres appareils installés]]</f>
        <v>2460</v>
      </c>
      <c r="AD61" s="189">
        <f>Tableau4[[#This Row],[AF 4 ($)]]/Tableau4[[#This Row],[Nombres appareils installés]]</f>
        <v>2460</v>
      </c>
      <c r="AE61" s="195">
        <f>Tableau4[[#This Row],[Couverture 4 (%)]]*Tableau4[[#This Row],[Nombres appareils installés]]</f>
        <v>0.60686048376154822</v>
      </c>
      <c r="AF61" s="194">
        <f>Tableau4[[#This Row],[AF 4 par appareil  ($)]]/Tableau4[[#This Row],[Surcoût par appareil ($)]]</f>
        <v>0.60686048376154822</v>
      </c>
    </row>
    <row r="62" spans="2:32" x14ac:dyDescent="0.3">
      <c r="B62" s="196" t="s">
        <v>235</v>
      </c>
      <c r="C62" s="189" t="s">
        <v>241</v>
      </c>
      <c r="D62" s="189">
        <v>1</v>
      </c>
      <c r="E62" s="189">
        <v>85000</v>
      </c>
      <c r="F62" s="197">
        <f>Tableau4[[#This Row],[Economies totales (m3)]]/Tableau4[[#This Row],[Nombres appareils installés]]</f>
        <v>429.25</v>
      </c>
      <c r="G62" s="191">
        <v>429.25</v>
      </c>
      <c r="H62" s="189">
        <f t="shared" si="0"/>
        <v>1741.65</v>
      </c>
      <c r="I62" s="189">
        <v>2400</v>
      </c>
      <c r="J62" s="189">
        <f>Tableau4[[#This Row],[Surcoût moyens de l''équipement ($)]]+Tableau4[[#This Row],[Surcoût moyen de l''installation ($)]]</f>
        <v>4141.6499999999996</v>
      </c>
      <c r="K62" s="189">
        <f>Tableau4[[#This Row],[Surcoût par appareil ($)]]*Tableau4[[#This Row],[Nombres appareils installés]]</f>
        <v>4141.6499999999996</v>
      </c>
      <c r="L62" s="191">
        <v>1700</v>
      </c>
      <c r="M62" s="189">
        <f t="shared" si="1"/>
        <v>1325</v>
      </c>
      <c r="N62" s="189">
        <f>Tableau4[[#This Row],[AF 0 ($)]]/Tableau4[[#This Row],[Nombres appareils installés]]</f>
        <v>1325</v>
      </c>
      <c r="O62" s="192">
        <f>(Tableau4[[#This Row],[AF accordée ($)]])/($J$6*D62)</f>
        <v>0.42463905680171854</v>
      </c>
      <c r="P62" s="192">
        <f>Tableau4[[#This Row],[Couverture 0 (%)]]*Tableau4[[#This Row],[Nombres appareils installés]]</f>
        <v>0.42463905680171854</v>
      </c>
      <c r="Q62" s="189">
        <f>($Q$4+$R$4*(Tableau4[[#This Row],[Capacité (BTU)]]/1000))*Tableau4[[#This Row],[Nombres appareils installés]]</f>
        <v>2425</v>
      </c>
      <c r="R62" s="189">
        <f>Tableau4[[#This Row],[AF 1 ($)]]/Tableau4[[#This Row],[Nombres appareils installés]]</f>
        <v>2425</v>
      </c>
      <c r="S62" s="192">
        <f>Tableau4[[#This Row],[AF 1 ($)]]/(J62*D62)</f>
        <v>0.58551543466975731</v>
      </c>
      <c r="T62" s="192">
        <f>Tableau4[[#This Row],[Couverture 1 (%)]]*Tableau4[[#This Row],[Nombres appareils installés]]</f>
        <v>0.58551543466975731</v>
      </c>
      <c r="U62" s="189">
        <f>($U$4+($V$4*(Tableau4[[#This Row],[Capacité (BTU)]]/1000)))*Tableau4[[#This Row],[Nombres appareils installés]]</f>
        <v>2637.5</v>
      </c>
      <c r="V62" s="189">
        <f>Tableau4[[#This Row],[AF 2 ($)]]/Tableau4[[#This Row],[Nombres appareils installés]]</f>
        <v>2637.5</v>
      </c>
      <c r="W62" s="193">
        <f>Tableau4[[#This Row],[AF 2 par appareil ($)]]/Tableau4[[#This Row],[Surcoût par appareil ($)]]</f>
        <v>0.63682348822329271</v>
      </c>
      <c r="X62" s="193">
        <f>Tableau4[[#This Row],[Couverture 2 (%)]]*Tableau4[[#This Row],[Nombres appareils installés]]</f>
        <v>0.63682348822329271</v>
      </c>
      <c r="Y62" s="189">
        <f>($Y$4+$Z$4*(Tableau4[[#This Row],[Capacité (BTU)]]/1000))*Tableau4[[#This Row],[Nombres appareils installés]]</f>
        <v>2925</v>
      </c>
      <c r="Z62" s="189">
        <f>Tableau4[[#This Row],[AF 3 ($)]]/Tableau4[[#This Row],[Nombres appareils installés]]</f>
        <v>2925</v>
      </c>
      <c r="AA62" s="194">
        <f>Tableau4[[#This Row],[AF 3 par appareil ($)]]/Tableau4[[#This Row],[Surcoût par appareil ($)]]</f>
        <v>0.70624026656042893</v>
      </c>
      <c r="AB62" s="194">
        <f>Tableau4[[#This Row],[Couverture 3 (%)]]*Tableau4[[#This Row],[Nombres appareils installés]]</f>
        <v>0.70624026656042893</v>
      </c>
      <c r="AC62" s="189">
        <f>($AC$4+$AD$4*(Tableau4[[#This Row],[Capacité (BTU)]]/1000))*Tableau4[[#This Row],[Nombres appareils installés]]</f>
        <v>2540</v>
      </c>
      <c r="AD62" s="189">
        <f>Tableau4[[#This Row],[AF 4 ($)]]/Tableau4[[#This Row],[Nombres appareils installés]]</f>
        <v>2540</v>
      </c>
      <c r="AE62" s="195">
        <f>Tableau4[[#This Row],[Couverture 4 (%)]]*Tableau4[[#This Row],[Nombres appareils installés]]</f>
        <v>0.61328214600461173</v>
      </c>
      <c r="AF62" s="194">
        <f>Tableau4[[#This Row],[AF 4 par appareil  ($)]]/Tableau4[[#This Row],[Surcoût par appareil ($)]]</f>
        <v>0.61328214600461173</v>
      </c>
    </row>
    <row r="63" spans="2:32" x14ac:dyDescent="0.3">
      <c r="B63" s="196" t="s">
        <v>235</v>
      </c>
      <c r="C63" s="189" t="s">
        <v>242</v>
      </c>
      <c r="D63" s="189">
        <v>1</v>
      </c>
      <c r="E63" s="189">
        <v>85000</v>
      </c>
      <c r="F63" s="197">
        <f>Tableau4[[#This Row],[Economies totales (m3)]]/Tableau4[[#This Row],[Nombres appareils installés]]</f>
        <v>429.25</v>
      </c>
      <c r="G63" s="191">
        <v>429.25</v>
      </c>
      <c r="H63" s="189">
        <f t="shared" si="0"/>
        <v>1741.65</v>
      </c>
      <c r="I63" s="189">
        <v>2400</v>
      </c>
      <c r="J63" s="189">
        <f>Tableau4[[#This Row],[Surcoût moyens de l''équipement ($)]]+Tableau4[[#This Row],[Surcoût moyen de l''installation ($)]]</f>
        <v>4141.6499999999996</v>
      </c>
      <c r="K63" s="189">
        <f>Tableau4[[#This Row],[Surcoût par appareil ($)]]*Tableau4[[#This Row],[Nombres appareils installés]]</f>
        <v>4141.6499999999996</v>
      </c>
      <c r="L63" s="191">
        <v>1700</v>
      </c>
      <c r="M63" s="189">
        <f t="shared" si="1"/>
        <v>1325</v>
      </c>
      <c r="N63" s="189">
        <f>Tableau4[[#This Row],[AF 0 ($)]]/Tableau4[[#This Row],[Nombres appareils installés]]</f>
        <v>1325</v>
      </c>
      <c r="O63" s="192">
        <f>(Tableau4[[#This Row],[AF accordée ($)]])/($J$6*D63)</f>
        <v>0.42463905680171854</v>
      </c>
      <c r="P63" s="192">
        <f>Tableau4[[#This Row],[Couverture 0 (%)]]*Tableau4[[#This Row],[Nombres appareils installés]]</f>
        <v>0.42463905680171854</v>
      </c>
      <c r="Q63" s="189">
        <f>($Q$4+$R$4*(Tableau4[[#This Row],[Capacité (BTU)]]/1000))*Tableau4[[#This Row],[Nombres appareils installés]]</f>
        <v>2425</v>
      </c>
      <c r="R63" s="189">
        <f>Tableau4[[#This Row],[AF 1 ($)]]/Tableau4[[#This Row],[Nombres appareils installés]]</f>
        <v>2425</v>
      </c>
      <c r="S63" s="192">
        <f>Tableau4[[#This Row],[AF 1 ($)]]/(J63*D63)</f>
        <v>0.58551543466975731</v>
      </c>
      <c r="T63" s="192">
        <f>Tableau4[[#This Row],[Couverture 1 (%)]]*Tableau4[[#This Row],[Nombres appareils installés]]</f>
        <v>0.58551543466975731</v>
      </c>
      <c r="U63" s="189">
        <f>($U$4+($V$4*(Tableau4[[#This Row],[Capacité (BTU)]]/1000)))*Tableau4[[#This Row],[Nombres appareils installés]]</f>
        <v>2637.5</v>
      </c>
      <c r="V63" s="189">
        <f>Tableau4[[#This Row],[AF 2 ($)]]/Tableau4[[#This Row],[Nombres appareils installés]]</f>
        <v>2637.5</v>
      </c>
      <c r="W63" s="193">
        <f>Tableau4[[#This Row],[AF 2 par appareil ($)]]/Tableau4[[#This Row],[Surcoût par appareil ($)]]</f>
        <v>0.63682348822329271</v>
      </c>
      <c r="X63" s="193">
        <f>Tableau4[[#This Row],[Couverture 2 (%)]]*Tableau4[[#This Row],[Nombres appareils installés]]</f>
        <v>0.63682348822329271</v>
      </c>
      <c r="Y63" s="189">
        <f>($Y$4+$Z$4*(Tableau4[[#This Row],[Capacité (BTU)]]/1000))*Tableau4[[#This Row],[Nombres appareils installés]]</f>
        <v>2925</v>
      </c>
      <c r="Z63" s="189">
        <f>Tableau4[[#This Row],[AF 3 ($)]]/Tableau4[[#This Row],[Nombres appareils installés]]</f>
        <v>2925</v>
      </c>
      <c r="AA63" s="194">
        <f>Tableau4[[#This Row],[AF 3 par appareil ($)]]/Tableau4[[#This Row],[Surcoût par appareil ($)]]</f>
        <v>0.70624026656042893</v>
      </c>
      <c r="AB63" s="194">
        <f>Tableau4[[#This Row],[Couverture 3 (%)]]*Tableau4[[#This Row],[Nombres appareils installés]]</f>
        <v>0.70624026656042893</v>
      </c>
      <c r="AC63" s="189">
        <f>($AC$4+$AD$4*(Tableau4[[#This Row],[Capacité (BTU)]]/1000))*Tableau4[[#This Row],[Nombres appareils installés]]</f>
        <v>2540</v>
      </c>
      <c r="AD63" s="189">
        <f>Tableau4[[#This Row],[AF 4 ($)]]/Tableau4[[#This Row],[Nombres appareils installés]]</f>
        <v>2540</v>
      </c>
      <c r="AE63" s="195">
        <f>Tableau4[[#This Row],[Couverture 4 (%)]]*Tableau4[[#This Row],[Nombres appareils installés]]</f>
        <v>0.61328214600461173</v>
      </c>
      <c r="AF63" s="194">
        <f>Tableau4[[#This Row],[AF 4 par appareil  ($)]]/Tableau4[[#This Row],[Surcoût par appareil ($)]]</f>
        <v>0.61328214600461173</v>
      </c>
    </row>
    <row r="64" spans="2:32" x14ac:dyDescent="0.3">
      <c r="B64" s="196" t="s">
        <v>235</v>
      </c>
      <c r="C64" s="189" t="s">
        <v>243</v>
      </c>
      <c r="D64" s="189">
        <v>1</v>
      </c>
      <c r="E64" s="189">
        <v>85000</v>
      </c>
      <c r="F64" s="197">
        <f>Tableau4[[#This Row],[Economies totales (m3)]]/Tableau4[[#This Row],[Nombres appareils installés]]</f>
        <v>429.25</v>
      </c>
      <c r="G64" s="191">
        <v>429.25</v>
      </c>
      <c r="H64" s="189">
        <f t="shared" si="0"/>
        <v>1741.65</v>
      </c>
      <c r="I64" s="189">
        <v>2400</v>
      </c>
      <c r="J64" s="189">
        <f>Tableau4[[#This Row],[Surcoût moyens de l''équipement ($)]]+Tableau4[[#This Row],[Surcoût moyen de l''installation ($)]]</f>
        <v>4141.6499999999996</v>
      </c>
      <c r="K64" s="189">
        <f>Tableau4[[#This Row],[Surcoût par appareil ($)]]*Tableau4[[#This Row],[Nombres appareils installés]]</f>
        <v>4141.6499999999996</v>
      </c>
      <c r="L64" s="191">
        <v>1700</v>
      </c>
      <c r="M64" s="189">
        <f t="shared" si="1"/>
        <v>1325</v>
      </c>
      <c r="N64" s="189">
        <f>Tableau4[[#This Row],[AF 0 ($)]]/Tableau4[[#This Row],[Nombres appareils installés]]</f>
        <v>1325</v>
      </c>
      <c r="O64" s="192">
        <f>(Tableau4[[#This Row],[AF accordée ($)]])/($J$6*D64)</f>
        <v>0.42463905680171854</v>
      </c>
      <c r="P64" s="192">
        <f>Tableau4[[#This Row],[Couverture 0 (%)]]*Tableau4[[#This Row],[Nombres appareils installés]]</f>
        <v>0.42463905680171854</v>
      </c>
      <c r="Q64" s="189">
        <f>($Q$4+$R$4*(Tableau4[[#This Row],[Capacité (BTU)]]/1000))*Tableau4[[#This Row],[Nombres appareils installés]]</f>
        <v>2425</v>
      </c>
      <c r="R64" s="189">
        <f>Tableau4[[#This Row],[AF 1 ($)]]/Tableau4[[#This Row],[Nombres appareils installés]]</f>
        <v>2425</v>
      </c>
      <c r="S64" s="192">
        <f>Tableau4[[#This Row],[AF 1 ($)]]/(J64*D64)</f>
        <v>0.58551543466975731</v>
      </c>
      <c r="T64" s="192">
        <f>Tableau4[[#This Row],[Couverture 1 (%)]]*Tableau4[[#This Row],[Nombres appareils installés]]</f>
        <v>0.58551543466975731</v>
      </c>
      <c r="U64" s="189">
        <f>($U$4+($V$4*(Tableau4[[#This Row],[Capacité (BTU)]]/1000)))*Tableau4[[#This Row],[Nombres appareils installés]]</f>
        <v>2637.5</v>
      </c>
      <c r="V64" s="189">
        <f>Tableau4[[#This Row],[AF 2 ($)]]/Tableau4[[#This Row],[Nombres appareils installés]]</f>
        <v>2637.5</v>
      </c>
      <c r="W64" s="193">
        <f>Tableau4[[#This Row],[AF 2 par appareil ($)]]/Tableau4[[#This Row],[Surcoût par appareil ($)]]</f>
        <v>0.63682348822329271</v>
      </c>
      <c r="X64" s="193">
        <f>Tableau4[[#This Row],[Couverture 2 (%)]]*Tableau4[[#This Row],[Nombres appareils installés]]</f>
        <v>0.63682348822329271</v>
      </c>
      <c r="Y64" s="189">
        <f>($Y$4+$Z$4*(Tableau4[[#This Row],[Capacité (BTU)]]/1000))*Tableau4[[#This Row],[Nombres appareils installés]]</f>
        <v>2925</v>
      </c>
      <c r="Z64" s="189">
        <f>Tableau4[[#This Row],[AF 3 ($)]]/Tableau4[[#This Row],[Nombres appareils installés]]</f>
        <v>2925</v>
      </c>
      <c r="AA64" s="194">
        <f>Tableau4[[#This Row],[AF 3 par appareil ($)]]/Tableau4[[#This Row],[Surcoût par appareil ($)]]</f>
        <v>0.70624026656042893</v>
      </c>
      <c r="AB64" s="194">
        <f>Tableau4[[#This Row],[Couverture 3 (%)]]*Tableau4[[#This Row],[Nombres appareils installés]]</f>
        <v>0.70624026656042893</v>
      </c>
      <c r="AC64" s="189">
        <f>($AC$4+$AD$4*(Tableau4[[#This Row],[Capacité (BTU)]]/1000))*Tableau4[[#This Row],[Nombres appareils installés]]</f>
        <v>2540</v>
      </c>
      <c r="AD64" s="189">
        <f>Tableau4[[#This Row],[AF 4 ($)]]/Tableau4[[#This Row],[Nombres appareils installés]]</f>
        <v>2540</v>
      </c>
      <c r="AE64" s="195">
        <f>Tableau4[[#This Row],[Couverture 4 (%)]]*Tableau4[[#This Row],[Nombres appareils installés]]</f>
        <v>0.61328214600461173</v>
      </c>
      <c r="AF64" s="194">
        <f>Tableau4[[#This Row],[AF 4 par appareil  ($)]]/Tableau4[[#This Row],[Surcoût par appareil ($)]]</f>
        <v>0.61328214600461173</v>
      </c>
    </row>
    <row r="65" spans="2:32" x14ac:dyDescent="0.3">
      <c r="B65" s="196" t="s">
        <v>235</v>
      </c>
      <c r="C65" s="189" t="s">
        <v>244</v>
      </c>
      <c r="D65" s="189">
        <v>1</v>
      </c>
      <c r="E65" s="189">
        <v>85000</v>
      </c>
      <c r="F65" s="197">
        <f>Tableau4[[#This Row],[Economies totales (m3)]]/Tableau4[[#This Row],[Nombres appareils installés]]</f>
        <v>429.25</v>
      </c>
      <c r="G65" s="191">
        <v>429.25</v>
      </c>
      <c r="H65" s="189">
        <f t="shared" si="0"/>
        <v>1741.65</v>
      </c>
      <c r="I65" s="189">
        <v>2400</v>
      </c>
      <c r="J65" s="189">
        <f>Tableau4[[#This Row],[Surcoût moyens de l''équipement ($)]]+Tableau4[[#This Row],[Surcoût moyen de l''installation ($)]]</f>
        <v>4141.6499999999996</v>
      </c>
      <c r="K65" s="189">
        <f>Tableau4[[#This Row],[Surcoût par appareil ($)]]*Tableau4[[#This Row],[Nombres appareils installés]]</f>
        <v>4141.6499999999996</v>
      </c>
      <c r="L65" s="191">
        <v>1700</v>
      </c>
      <c r="M65" s="189">
        <f t="shared" si="1"/>
        <v>1325</v>
      </c>
      <c r="N65" s="189">
        <f>Tableau4[[#This Row],[AF 0 ($)]]/Tableau4[[#This Row],[Nombres appareils installés]]</f>
        <v>1325</v>
      </c>
      <c r="O65" s="192">
        <f>(Tableau4[[#This Row],[AF accordée ($)]])/($J$6*D65)</f>
        <v>0.42463905680171854</v>
      </c>
      <c r="P65" s="192">
        <f>Tableau4[[#This Row],[Couverture 0 (%)]]*Tableau4[[#This Row],[Nombres appareils installés]]</f>
        <v>0.42463905680171854</v>
      </c>
      <c r="Q65" s="189">
        <f>($Q$4+$R$4*(Tableau4[[#This Row],[Capacité (BTU)]]/1000))*Tableau4[[#This Row],[Nombres appareils installés]]</f>
        <v>2425</v>
      </c>
      <c r="R65" s="189">
        <f>Tableau4[[#This Row],[AF 1 ($)]]/Tableau4[[#This Row],[Nombres appareils installés]]</f>
        <v>2425</v>
      </c>
      <c r="S65" s="192">
        <f>Tableau4[[#This Row],[AF 1 ($)]]/(J65*D65)</f>
        <v>0.58551543466975731</v>
      </c>
      <c r="T65" s="192">
        <f>Tableau4[[#This Row],[Couverture 1 (%)]]*Tableau4[[#This Row],[Nombres appareils installés]]</f>
        <v>0.58551543466975731</v>
      </c>
      <c r="U65" s="189">
        <f>($U$4+($V$4*(Tableau4[[#This Row],[Capacité (BTU)]]/1000)))*Tableau4[[#This Row],[Nombres appareils installés]]</f>
        <v>2637.5</v>
      </c>
      <c r="V65" s="189">
        <f>Tableau4[[#This Row],[AF 2 ($)]]/Tableau4[[#This Row],[Nombres appareils installés]]</f>
        <v>2637.5</v>
      </c>
      <c r="W65" s="193">
        <f>Tableau4[[#This Row],[AF 2 par appareil ($)]]/Tableau4[[#This Row],[Surcoût par appareil ($)]]</f>
        <v>0.63682348822329271</v>
      </c>
      <c r="X65" s="193">
        <f>Tableau4[[#This Row],[Couverture 2 (%)]]*Tableau4[[#This Row],[Nombres appareils installés]]</f>
        <v>0.63682348822329271</v>
      </c>
      <c r="Y65" s="189">
        <f>($Y$4+$Z$4*(Tableau4[[#This Row],[Capacité (BTU)]]/1000))*Tableau4[[#This Row],[Nombres appareils installés]]</f>
        <v>2925</v>
      </c>
      <c r="Z65" s="189">
        <f>Tableau4[[#This Row],[AF 3 ($)]]/Tableau4[[#This Row],[Nombres appareils installés]]</f>
        <v>2925</v>
      </c>
      <c r="AA65" s="194">
        <f>Tableau4[[#This Row],[AF 3 par appareil ($)]]/Tableau4[[#This Row],[Surcoût par appareil ($)]]</f>
        <v>0.70624026656042893</v>
      </c>
      <c r="AB65" s="194">
        <f>Tableau4[[#This Row],[Couverture 3 (%)]]*Tableau4[[#This Row],[Nombres appareils installés]]</f>
        <v>0.70624026656042893</v>
      </c>
      <c r="AC65" s="189">
        <f>($AC$4+$AD$4*(Tableau4[[#This Row],[Capacité (BTU)]]/1000))*Tableau4[[#This Row],[Nombres appareils installés]]</f>
        <v>2540</v>
      </c>
      <c r="AD65" s="189">
        <f>Tableau4[[#This Row],[AF 4 ($)]]/Tableau4[[#This Row],[Nombres appareils installés]]</f>
        <v>2540</v>
      </c>
      <c r="AE65" s="195">
        <f>Tableau4[[#This Row],[Couverture 4 (%)]]*Tableau4[[#This Row],[Nombres appareils installés]]</f>
        <v>0.61328214600461173</v>
      </c>
      <c r="AF65" s="194">
        <f>Tableau4[[#This Row],[AF 4 par appareil  ($)]]/Tableau4[[#This Row],[Surcoût par appareil ($)]]</f>
        <v>0.61328214600461173</v>
      </c>
    </row>
    <row r="66" spans="2:32" x14ac:dyDescent="0.3">
      <c r="B66" s="196" t="s">
        <v>235</v>
      </c>
      <c r="C66" s="189" t="s">
        <v>239</v>
      </c>
      <c r="D66" s="189">
        <v>2</v>
      </c>
      <c r="E66" s="189">
        <v>110000</v>
      </c>
      <c r="F66" s="197">
        <f>Tableau4[[#This Row],[Economies totales (m3)]]/Tableau4[[#This Row],[Nombres appareils installés]]</f>
        <v>555.5</v>
      </c>
      <c r="G66" s="191">
        <v>1111</v>
      </c>
      <c r="H66" s="189">
        <f t="shared" si="0"/>
        <v>1885.4</v>
      </c>
      <c r="I66" s="189">
        <v>2400</v>
      </c>
      <c r="J66" s="189">
        <f>Tableau4[[#This Row],[Surcoût moyens de l''équipement ($)]]+Tableau4[[#This Row],[Surcoût moyen de l''installation ($)]]</f>
        <v>4285.3999999999996</v>
      </c>
      <c r="K66" s="189">
        <f>Tableau4[[#This Row],[Surcoût par appareil ($)]]*Tableau4[[#This Row],[Nombres appareils installés]]</f>
        <v>8570.7999999999993</v>
      </c>
      <c r="L66" s="191">
        <v>3400</v>
      </c>
      <c r="M66" s="189">
        <f t="shared" si="1"/>
        <v>2900</v>
      </c>
      <c r="N66" s="189">
        <f>Tableau4[[#This Row],[AF 0 ($)]]/Tableau4[[#This Row],[Nombres appareils installés]]</f>
        <v>1450</v>
      </c>
      <c r="O66" s="192">
        <f>(Tableau4[[#This Row],[AF accordée ($)]])/($J$6*D66)</f>
        <v>0.42463905680171854</v>
      </c>
      <c r="P66" s="192">
        <f>Tableau4[[#This Row],[Couverture 0 (%)]]*Tableau4[[#This Row],[Nombres appareils installés]]</f>
        <v>0.84927811360343708</v>
      </c>
      <c r="Q66" s="189">
        <f>($Q$4+$R$4*(Tableau4[[#This Row],[Capacité (BTU)]]/1000))*Tableau4[[#This Row],[Nombres appareils installés]]</f>
        <v>5100</v>
      </c>
      <c r="R66" s="189">
        <f>Tableau4[[#This Row],[AF 1 ($)]]/Tableau4[[#This Row],[Nombres appareils installés]]</f>
        <v>2550</v>
      </c>
      <c r="S66" s="192">
        <f>Tableau4[[#This Row],[AF 1 ($)]]/(J66*D66)</f>
        <v>0.5950436365333458</v>
      </c>
      <c r="T66" s="192">
        <f>Tableau4[[#This Row],[Couverture 1 (%)]]*Tableau4[[#This Row],[Nombres appareils installés]]</f>
        <v>1.1900872730666916</v>
      </c>
      <c r="U66" s="189">
        <f>($U$4+($V$4*(Tableau4[[#This Row],[Capacité (BTU)]]/1000)))*Tableau4[[#This Row],[Nombres appareils installés]]</f>
        <v>5650</v>
      </c>
      <c r="V66" s="189">
        <f>Tableau4[[#This Row],[AF 2 ($)]]/Tableau4[[#This Row],[Nombres appareils installés]]</f>
        <v>2825</v>
      </c>
      <c r="W66" s="193">
        <f>Tableau4[[#This Row],[AF 2 par appareil ($)]]/Tableau4[[#This Row],[Surcoût par appareil ($)]]</f>
        <v>0.65921500910066744</v>
      </c>
      <c r="X66" s="193">
        <f>Tableau4[[#This Row],[Couverture 2 (%)]]*Tableau4[[#This Row],[Nombres appareils installés]]</f>
        <v>1.3184300182013349</v>
      </c>
      <c r="Y66" s="189">
        <f>($Y$4+$Z$4*(Tableau4[[#This Row],[Capacité (BTU)]]/1000))*Tableau4[[#This Row],[Nombres appareils installés]]</f>
        <v>6100</v>
      </c>
      <c r="Z66" s="189">
        <f>Tableau4[[#This Row],[AF 3 ($)]]/Tableau4[[#This Row],[Nombres appareils installés]]</f>
        <v>3050</v>
      </c>
      <c r="AA66" s="194">
        <f>Tableau4[[#This Row],[AF 3 par appareil ($)]]/Tableau4[[#This Row],[Surcoût par appareil ($)]]</f>
        <v>0.71171885938302148</v>
      </c>
      <c r="AB66" s="194">
        <f>Tableau4[[#This Row],[Couverture 3 (%)]]*Tableau4[[#This Row],[Nombres appareils installés]]</f>
        <v>1.423437718766043</v>
      </c>
      <c r="AC66" s="189">
        <f>($AC$4+$AD$4*(Tableau4[[#This Row],[Capacité (BTU)]]/1000))*Tableau4[[#This Row],[Nombres appareils installés]]</f>
        <v>5280</v>
      </c>
      <c r="AD66" s="189">
        <f>Tableau4[[#This Row],[AF 4 ($)]]/Tableau4[[#This Row],[Nombres appareils installés]]</f>
        <v>2640</v>
      </c>
      <c r="AE66" s="195">
        <f>Tableau4[[#This Row],[Couverture 4 (%)]]*Tableau4[[#This Row],[Nombres appareils installés]]</f>
        <v>1.2320903532925749</v>
      </c>
      <c r="AF66" s="194">
        <f>Tableau4[[#This Row],[AF 4 par appareil  ($)]]/Tableau4[[#This Row],[Surcoût par appareil ($)]]</f>
        <v>0.61604517664628744</v>
      </c>
    </row>
    <row r="67" spans="2:32" x14ac:dyDescent="0.3">
      <c r="B67" s="196" t="s">
        <v>235</v>
      </c>
      <c r="C67" s="189" t="s">
        <v>245</v>
      </c>
      <c r="D67" s="189">
        <v>2</v>
      </c>
      <c r="E67" s="189">
        <v>110000</v>
      </c>
      <c r="F67" s="197">
        <f>Tableau4[[#This Row],[Economies totales (m3)]]/Tableau4[[#This Row],[Nombres appareils installés]]</f>
        <v>555.5</v>
      </c>
      <c r="G67" s="191">
        <v>1111</v>
      </c>
      <c r="H67" s="189">
        <f t="shared" si="0"/>
        <v>1885.4</v>
      </c>
      <c r="I67" s="189">
        <v>2400</v>
      </c>
      <c r="J67" s="189">
        <f>Tableau4[[#This Row],[Surcoût moyens de l''équipement ($)]]+Tableau4[[#This Row],[Surcoût moyen de l''installation ($)]]</f>
        <v>4285.3999999999996</v>
      </c>
      <c r="K67" s="189">
        <f>Tableau4[[#This Row],[Surcoût par appareil ($)]]*Tableau4[[#This Row],[Nombres appareils installés]]</f>
        <v>8570.7999999999993</v>
      </c>
      <c r="L67" s="191">
        <v>3400</v>
      </c>
      <c r="M67" s="189">
        <f t="shared" si="1"/>
        <v>2900</v>
      </c>
      <c r="N67" s="189">
        <f>Tableau4[[#This Row],[AF 0 ($)]]/Tableau4[[#This Row],[Nombres appareils installés]]</f>
        <v>1450</v>
      </c>
      <c r="O67" s="192">
        <f>(Tableau4[[#This Row],[AF accordée ($)]])/($J$6*D67)</f>
        <v>0.42463905680171854</v>
      </c>
      <c r="P67" s="192">
        <f>Tableau4[[#This Row],[Couverture 0 (%)]]*Tableau4[[#This Row],[Nombres appareils installés]]</f>
        <v>0.84927811360343708</v>
      </c>
      <c r="Q67" s="189">
        <f>($Q$4+$R$4*(Tableau4[[#This Row],[Capacité (BTU)]]/1000))*Tableau4[[#This Row],[Nombres appareils installés]]</f>
        <v>5100</v>
      </c>
      <c r="R67" s="189">
        <f>Tableau4[[#This Row],[AF 1 ($)]]/Tableau4[[#This Row],[Nombres appareils installés]]</f>
        <v>2550</v>
      </c>
      <c r="S67" s="192">
        <f>Tableau4[[#This Row],[AF 1 ($)]]/(J67*D67)</f>
        <v>0.5950436365333458</v>
      </c>
      <c r="T67" s="192">
        <f>Tableau4[[#This Row],[Couverture 1 (%)]]*Tableau4[[#This Row],[Nombres appareils installés]]</f>
        <v>1.1900872730666916</v>
      </c>
      <c r="U67" s="189">
        <f>($U$4+($V$4*(Tableau4[[#This Row],[Capacité (BTU)]]/1000)))*Tableau4[[#This Row],[Nombres appareils installés]]</f>
        <v>5650</v>
      </c>
      <c r="V67" s="189">
        <f>Tableau4[[#This Row],[AF 2 ($)]]/Tableau4[[#This Row],[Nombres appareils installés]]</f>
        <v>2825</v>
      </c>
      <c r="W67" s="193">
        <f>Tableau4[[#This Row],[AF 2 par appareil ($)]]/Tableau4[[#This Row],[Surcoût par appareil ($)]]</f>
        <v>0.65921500910066744</v>
      </c>
      <c r="X67" s="193">
        <f>Tableau4[[#This Row],[Couverture 2 (%)]]*Tableau4[[#This Row],[Nombres appareils installés]]</f>
        <v>1.3184300182013349</v>
      </c>
      <c r="Y67" s="189">
        <f>($Y$4+$Z$4*(Tableau4[[#This Row],[Capacité (BTU)]]/1000))*Tableau4[[#This Row],[Nombres appareils installés]]</f>
        <v>6100</v>
      </c>
      <c r="Z67" s="189">
        <f>Tableau4[[#This Row],[AF 3 ($)]]/Tableau4[[#This Row],[Nombres appareils installés]]</f>
        <v>3050</v>
      </c>
      <c r="AA67" s="194">
        <f>Tableau4[[#This Row],[AF 3 par appareil ($)]]/Tableau4[[#This Row],[Surcoût par appareil ($)]]</f>
        <v>0.71171885938302148</v>
      </c>
      <c r="AB67" s="194">
        <f>Tableau4[[#This Row],[Couverture 3 (%)]]*Tableau4[[#This Row],[Nombres appareils installés]]</f>
        <v>1.423437718766043</v>
      </c>
      <c r="AC67" s="189">
        <f>($AC$4+$AD$4*(Tableau4[[#This Row],[Capacité (BTU)]]/1000))*Tableau4[[#This Row],[Nombres appareils installés]]</f>
        <v>5280</v>
      </c>
      <c r="AD67" s="189">
        <f>Tableau4[[#This Row],[AF 4 ($)]]/Tableau4[[#This Row],[Nombres appareils installés]]</f>
        <v>2640</v>
      </c>
      <c r="AE67" s="195">
        <f>Tableau4[[#This Row],[Couverture 4 (%)]]*Tableau4[[#This Row],[Nombres appareils installés]]</f>
        <v>1.2320903532925749</v>
      </c>
      <c r="AF67" s="194">
        <f>Tableau4[[#This Row],[AF 4 par appareil  ($)]]/Tableau4[[#This Row],[Surcoût par appareil ($)]]</f>
        <v>0.61604517664628744</v>
      </c>
    </row>
    <row r="68" spans="2:32" x14ac:dyDescent="0.3">
      <c r="B68" s="196" t="s">
        <v>235</v>
      </c>
      <c r="C68" s="189" t="s">
        <v>246</v>
      </c>
      <c r="D68" s="189">
        <v>2</v>
      </c>
      <c r="E68" s="189">
        <v>110000</v>
      </c>
      <c r="F68" s="197">
        <f>Tableau4[[#This Row],[Economies totales (m3)]]/Tableau4[[#This Row],[Nombres appareils installés]]</f>
        <v>555.5</v>
      </c>
      <c r="G68" s="191">
        <v>1111</v>
      </c>
      <c r="H68" s="189">
        <f t="shared" si="0"/>
        <v>1885.4</v>
      </c>
      <c r="I68" s="189">
        <v>2400</v>
      </c>
      <c r="J68" s="189">
        <f>Tableau4[[#This Row],[Surcoût moyens de l''équipement ($)]]+Tableau4[[#This Row],[Surcoût moyen de l''installation ($)]]</f>
        <v>4285.3999999999996</v>
      </c>
      <c r="K68" s="189">
        <f>Tableau4[[#This Row],[Surcoût par appareil ($)]]*Tableau4[[#This Row],[Nombres appareils installés]]</f>
        <v>8570.7999999999993</v>
      </c>
      <c r="L68" s="191">
        <v>3400</v>
      </c>
      <c r="M68" s="189">
        <f t="shared" si="1"/>
        <v>2900</v>
      </c>
      <c r="N68" s="189">
        <f>Tableau4[[#This Row],[AF 0 ($)]]/Tableau4[[#This Row],[Nombres appareils installés]]</f>
        <v>1450</v>
      </c>
      <c r="O68" s="192">
        <f>(Tableau4[[#This Row],[AF accordée ($)]])/($J$6*D68)</f>
        <v>0.42463905680171854</v>
      </c>
      <c r="P68" s="192">
        <f>Tableau4[[#This Row],[Couverture 0 (%)]]*Tableau4[[#This Row],[Nombres appareils installés]]</f>
        <v>0.84927811360343708</v>
      </c>
      <c r="Q68" s="189">
        <f>($Q$4+$R$4*(Tableau4[[#This Row],[Capacité (BTU)]]/1000))*Tableau4[[#This Row],[Nombres appareils installés]]</f>
        <v>5100</v>
      </c>
      <c r="R68" s="189">
        <f>Tableau4[[#This Row],[AF 1 ($)]]/Tableau4[[#This Row],[Nombres appareils installés]]</f>
        <v>2550</v>
      </c>
      <c r="S68" s="192">
        <f>Tableau4[[#This Row],[AF 1 ($)]]/(J68*D68)</f>
        <v>0.5950436365333458</v>
      </c>
      <c r="T68" s="192">
        <f>Tableau4[[#This Row],[Couverture 1 (%)]]*Tableau4[[#This Row],[Nombres appareils installés]]</f>
        <v>1.1900872730666916</v>
      </c>
      <c r="U68" s="189">
        <f>($U$4+($V$4*(Tableau4[[#This Row],[Capacité (BTU)]]/1000)))*Tableau4[[#This Row],[Nombres appareils installés]]</f>
        <v>5650</v>
      </c>
      <c r="V68" s="189">
        <f>Tableau4[[#This Row],[AF 2 ($)]]/Tableau4[[#This Row],[Nombres appareils installés]]</f>
        <v>2825</v>
      </c>
      <c r="W68" s="193">
        <f>Tableau4[[#This Row],[AF 2 par appareil ($)]]/Tableau4[[#This Row],[Surcoût par appareil ($)]]</f>
        <v>0.65921500910066744</v>
      </c>
      <c r="X68" s="193">
        <f>Tableau4[[#This Row],[Couverture 2 (%)]]*Tableau4[[#This Row],[Nombres appareils installés]]</f>
        <v>1.3184300182013349</v>
      </c>
      <c r="Y68" s="189">
        <f>($Y$4+$Z$4*(Tableau4[[#This Row],[Capacité (BTU)]]/1000))*Tableau4[[#This Row],[Nombres appareils installés]]</f>
        <v>6100</v>
      </c>
      <c r="Z68" s="189">
        <f>Tableau4[[#This Row],[AF 3 ($)]]/Tableau4[[#This Row],[Nombres appareils installés]]</f>
        <v>3050</v>
      </c>
      <c r="AA68" s="194">
        <f>Tableau4[[#This Row],[AF 3 par appareil ($)]]/Tableau4[[#This Row],[Surcoût par appareil ($)]]</f>
        <v>0.71171885938302148</v>
      </c>
      <c r="AB68" s="194">
        <f>Tableau4[[#This Row],[Couverture 3 (%)]]*Tableau4[[#This Row],[Nombres appareils installés]]</f>
        <v>1.423437718766043</v>
      </c>
      <c r="AC68" s="189">
        <f>($AC$4+$AD$4*(Tableau4[[#This Row],[Capacité (BTU)]]/1000))*Tableau4[[#This Row],[Nombres appareils installés]]</f>
        <v>5280</v>
      </c>
      <c r="AD68" s="189">
        <f>Tableau4[[#This Row],[AF 4 ($)]]/Tableau4[[#This Row],[Nombres appareils installés]]</f>
        <v>2640</v>
      </c>
      <c r="AE68" s="195">
        <f>Tableau4[[#This Row],[Couverture 4 (%)]]*Tableau4[[#This Row],[Nombres appareils installés]]</f>
        <v>1.2320903532925749</v>
      </c>
      <c r="AF68" s="194">
        <f>Tableau4[[#This Row],[AF 4 par appareil  ($)]]/Tableau4[[#This Row],[Surcoût par appareil ($)]]</f>
        <v>0.61604517664628744</v>
      </c>
    </row>
    <row r="69" spans="2:32" x14ac:dyDescent="0.3">
      <c r="B69" s="196" t="s">
        <v>235</v>
      </c>
      <c r="C69" s="189" t="s">
        <v>216</v>
      </c>
      <c r="D69" s="189">
        <v>2</v>
      </c>
      <c r="E69" s="189">
        <v>110000</v>
      </c>
      <c r="F69" s="197">
        <f>Tableau4[[#This Row],[Economies totales (m3)]]/Tableau4[[#This Row],[Nombres appareils installés]]</f>
        <v>555.5</v>
      </c>
      <c r="G69" s="191">
        <v>1111</v>
      </c>
      <c r="H69" s="189">
        <f t="shared" si="0"/>
        <v>1885.4</v>
      </c>
      <c r="I69" s="189">
        <v>2400</v>
      </c>
      <c r="J69" s="189">
        <f>Tableau4[[#This Row],[Surcoût moyens de l''équipement ($)]]+Tableau4[[#This Row],[Surcoût moyen de l''installation ($)]]</f>
        <v>4285.3999999999996</v>
      </c>
      <c r="K69" s="189">
        <f>Tableau4[[#This Row],[Surcoût par appareil ($)]]*Tableau4[[#This Row],[Nombres appareils installés]]</f>
        <v>8570.7999999999993</v>
      </c>
      <c r="L69" s="191">
        <v>3400</v>
      </c>
      <c r="M69" s="189">
        <f t="shared" si="1"/>
        <v>2900</v>
      </c>
      <c r="N69" s="189">
        <f>Tableau4[[#This Row],[AF 0 ($)]]/Tableau4[[#This Row],[Nombres appareils installés]]</f>
        <v>1450</v>
      </c>
      <c r="O69" s="192">
        <f>(Tableau4[[#This Row],[AF accordée ($)]])/($J$6*D69)</f>
        <v>0.42463905680171854</v>
      </c>
      <c r="P69" s="192">
        <f>Tableau4[[#This Row],[Couverture 0 (%)]]*Tableau4[[#This Row],[Nombres appareils installés]]</f>
        <v>0.84927811360343708</v>
      </c>
      <c r="Q69" s="189">
        <f>($Q$4+$R$4*(Tableau4[[#This Row],[Capacité (BTU)]]/1000))*Tableau4[[#This Row],[Nombres appareils installés]]</f>
        <v>5100</v>
      </c>
      <c r="R69" s="189">
        <f>Tableau4[[#This Row],[AF 1 ($)]]/Tableau4[[#This Row],[Nombres appareils installés]]</f>
        <v>2550</v>
      </c>
      <c r="S69" s="192">
        <f>Tableau4[[#This Row],[AF 1 ($)]]/(J69*D69)</f>
        <v>0.5950436365333458</v>
      </c>
      <c r="T69" s="192">
        <f>Tableau4[[#This Row],[Couverture 1 (%)]]*Tableau4[[#This Row],[Nombres appareils installés]]</f>
        <v>1.1900872730666916</v>
      </c>
      <c r="U69" s="189">
        <f>($U$4+($V$4*(Tableau4[[#This Row],[Capacité (BTU)]]/1000)))*Tableau4[[#This Row],[Nombres appareils installés]]</f>
        <v>5650</v>
      </c>
      <c r="V69" s="189">
        <f>Tableau4[[#This Row],[AF 2 ($)]]/Tableau4[[#This Row],[Nombres appareils installés]]</f>
        <v>2825</v>
      </c>
      <c r="W69" s="193">
        <f>Tableau4[[#This Row],[AF 2 par appareil ($)]]/Tableau4[[#This Row],[Surcoût par appareil ($)]]</f>
        <v>0.65921500910066744</v>
      </c>
      <c r="X69" s="193">
        <f>Tableau4[[#This Row],[Couverture 2 (%)]]*Tableau4[[#This Row],[Nombres appareils installés]]</f>
        <v>1.3184300182013349</v>
      </c>
      <c r="Y69" s="189">
        <f>($Y$4+$Z$4*(Tableau4[[#This Row],[Capacité (BTU)]]/1000))*Tableau4[[#This Row],[Nombres appareils installés]]</f>
        <v>6100</v>
      </c>
      <c r="Z69" s="189">
        <f>Tableau4[[#This Row],[AF 3 ($)]]/Tableau4[[#This Row],[Nombres appareils installés]]</f>
        <v>3050</v>
      </c>
      <c r="AA69" s="194">
        <f>Tableau4[[#This Row],[AF 3 par appareil ($)]]/Tableau4[[#This Row],[Surcoût par appareil ($)]]</f>
        <v>0.71171885938302148</v>
      </c>
      <c r="AB69" s="194">
        <f>Tableau4[[#This Row],[Couverture 3 (%)]]*Tableau4[[#This Row],[Nombres appareils installés]]</f>
        <v>1.423437718766043</v>
      </c>
      <c r="AC69" s="189">
        <f>($AC$4+$AD$4*(Tableau4[[#This Row],[Capacité (BTU)]]/1000))*Tableau4[[#This Row],[Nombres appareils installés]]</f>
        <v>5280</v>
      </c>
      <c r="AD69" s="189">
        <f>Tableau4[[#This Row],[AF 4 ($)]]/Tableau4[[#This Row],[Nombres appareils installés]]</f>
        <v>2640</v>
      </c>
      <c r="AE69" s="195">
        <f>Tableau4[[#This Row],[Couverture 4 (%)]]*Tableau4[[#This Row],[Nombres appareils installés]]</f>
        <v>1.2320903532925749</v>
      </c>
      <c r="AF69" s="194">
        <f>Tableau4[[#This Row],[AF 4 par appareil  ($)]]/Tableau4[[#This Row],[Surcoût par appareil ($)]]</f>
        <v>0.61604517664628744</v>
      </c>
    </row>
    <row r="70" spans="2:32" x14ac:dyDescent="0.3">
      <c r="B70" s="196" t="s">
        <v>235</v>
      </c>
      <c r="C70" s="189" t="s">
        <v>247</v>
      </c>
      <c r="D70" s="189">
        <v>1</v>
      </c>
      <c r="E70" s="189">
        <v>130000</v>
      </c>
      <c r="F70" s="197">
        <f>Tableau4[[#This Row],[Economies totales (m3)]]/Tableau4[[#This Row],[Nombres appareils installés]]</f>
        <v>656.5</v>
      </c>
      <c r="G70" s="191">
        <v>656.5</v>
      </c>
      <c r="H70" s="189">
        <f t="shared" ref="H70:H133" si="2">(0.00000003*E70^2 - 0.0001*E70 + 1533.4)</f>
        <v>2027.4</v>
      </c>
      <c r="I70" s="189">
        <v>2400</v>
      </c>
      <c r="J70" s="189">
        <f>Tableau4[[#This Row],[Surcoût moyens de l''équipement ($)]]+Tableau4[[#This Row],[Surcoût moyen de l''installation ($)]]</f>
        <v>4427.3999999999996</v>
      </c>
      <c r="K70" s="189">
        <f>Tableau4[[#This Row],[Surcoût par appareil ($)]]*Tableau4[[#This Row],[Nombres appareils installés]]</f>
        <v>4427.3999999999996</v>
      </c>
      <c r="L70" s="191">
        <v>1700</v>
      </c>
      <c r="M70" s="189">
        <f t="shared" ref="M70:M133" si="3">($M$4+$N$4*(E70/1000))*D70</f>
        <v>1550</v>
      </c>
      <c r="N70" s="189">
        <f>Tableau4[[#This Row],[AF 0 ($)]]/Tableau4[[#This Row],[Nombres appareils installés]]</f>
        <v>1550</v>
      </c>
      <c r="O70" s="192">
        <f>(Tableau4[[#This Row],[AF accordée ($)]])/($J$6*D70)</f>
        <v>0.42463905680171854</v>
      </c>
      <c r="P70" s="192">
        <f>Tableau4[[#This Row],[Couverture 0 (%)]]*Tableau4[[#This Row],[Nombres appareils installés]]</f>
        <v>0.42463905680171854</v>
      </c>
      <c r="Q70" s="189">
        <f>($Q$4+$R$4*(Tableau4[[#This Row],[Capacité (BTU)]]/1000))*Tableau4[[#This Row],[Nombres appareils installés]]</f>
        <v>2650</v>
      </c>
      <c r="R70" s="189">
        <f>Tableau4[[#This Row],[AF 1 ($)]]/Tableau4[[#This Row],[Nombres appareils installés]]</f>
        <v>2650</v>
      </c>
      <c r="S70" s="192">
        <f>Tableau4[[#This Row],[AF 1 ($)]]/(J70*D70)</f>
        <v>0.59854542169218961</v>
      </c>
      <c r="T70" s="192">
        <f>Tableau4[[#This Row],[Couverture 1 (%)]]*Tableau4[[#This Row],[Nombres appareils installés]]</f>
        <v>0.59854542169218961</v>
      </c>
      <c r="U70" s="189">
        <f>($U$4+($V$4*(Tableau4[[#This Row],[Capacité (BTU)]]/1000)))*Tableau4[[#This Row],[Nombres appareils installés]]</f>
        <v>2975</v>
      </c>
      <c r="V70" s="189">
        <f>Tableau4[[#This Row],[AF 2 ($)]]/Tableau4[[#This Row],[Nombres appareils installés]]</f>
        <v>2975</v>
      </c>
      <c r="W70" s="193">
        <f>Tableau4[[#This Row],[AF 2 par appareil ($)]]/Tableau4[[#This Row],[Surcoût par appareil ($)]]</f>
        <v>0.67195193567330724</v>
      </c>
      <c r="X70" s="193">
        <f>Tableau4[[#This Row],[Couverture 2 (%)]]*Tableau4[[#This Row],[Nombres appareils installés]]</f>
        <v>0.67195193567330724</v>
      </c>
      <c r="Y70" s="189">
        <f>($Y$4+$Z$4*(Tableau4[[#This Row],[Capacité (BTU)]]/1000))*Tableau4[[#This Row],[Nombres appareils installés]]</f>
        <v>3150</v>
      </c>
      <c r="Z70" s="189">
        <f>Tableau4[[#This Row],[AF 3 ($)]]/Tableau4[[#This Row],[Nombres appareils installés]]</f>
        <v>3150</v>
      </c>
      <c r="AA70" s="194">
        <f>Tableau4[[#This Row],[AF 3 par appareil ($)]]/Tableau4[[#This Row],[Surcoût par appareil ($)]]</f>
        <v>0.71147852012467816</v>
      </c>
      <c r="AB70" s="194">
        <f>Tableau4[[#This Row],[Couverture 3 (%)]]*Tableau4[[#This Row],[Nombres appareils installés]]</f>
        <v>0.71147852012467816</v>
      </c>
      <c r="AC70" s="189">
        <f>($AC$4+$AD$4*(Tableau4[[#This Row],[Capacité (BTU)]]/1000))*Tableau4[[#This Row],[Nombres appareils installés]]</f>
        <v>2720</v>
      </c>
      <c r="AD70" s="189">
        <f>Tableau4[[#This Row],[AF 4 ($)]]/Tableau4[[#This Row],[Nombres appareils installés]]</f>
        <v>2720</v>
      </c>
      <c r="AE70" s="195">
        <f>Tableau4[[#This Row],[Couverture 4 (%)]]*Tableau4[[#This Row],[Nombres appareils installés]]</f>
        <v>0.61435605547273797</v>
      </c>
      <c r="AF70" s="194">
        <f>Tableau4[[#This Row],[AF 4 par appareil  ($)]]/Tableau4[[#This Row],[Surcoût par appareil ($)]]</f>
        <v>0.61435605547273797</v>
      </c>
    </row>
    <row r="71" spans="2:32" x14ac:dyDescent="0.3">
      <c r="B71" s="196" t="s">
        <v>235</v>
      </c>
      <c r="C71" s="189" t="s">
        <v>248</v>
      </c>
      <c r="D71" s="189">
        <v>1</v>
      </c>
      <c r="E71" s="189">
        <v>130000</v>
      </c>
      <c r="F71" s="197">
        <f>Tableau4[[#This Row],[Economies totales (m3)]]/Tableau4[[#This Row],[Nombres appareils installés]]</f>
        <v>656.5</v>
      </c>
      <c r="G71" s="191">
        <v>656.5</v>
      </c>
      <c r="H71" s="189">
        <f t="shared" si="2"/>
        <v>2027.4</v>
      </c>
      <c r="I71" s="189">
        <v>2400</v>
      </c>
      <c r="J71" s="189">
        <f>Tableau4[[#This Row],[Surcoût moyens de l''équipement ($)]]+Tableau4[[#This Row],[Surcoût moyen de l''installation ($)]]</f>
        <v>4427.3999999999996</v>
      </c>
      <c r="K71" s="189">
        <f>Tableau4[[#This Row],[Surcoût par appareil ($)]]*Tableau4[[#This Row],[Nombres appareils installés]]</f>
        <v>4427.3999999999996</v>
      </c>
      <c r="L71" s="191">
        <v>1700</v>
      </c>
      <c r="M71" s="189">
        <f t="shared" si="3"/>
        <v>1550</v>
      </c>
      <c r="N71" s="189">
        <f>Tableau4[[#This Row],[AF 0 ($)]]/Tableau4[[#This Row],[Nombres appareils installés]]</f>
        <v>1550</v>
      </c>
      <c r="O71" s="192">
        <f>(Tableau4[[#This Row],[AF accordée ($)]])/($J$6*D71)</f>
        <v>0.42463905680171854</v>
      </c>
      <c r="P71" s="192">
        <f>Tableau4[[#This Row],[Couverture 0 (%)]]*Tableau4[[#This Row],[Nombres appareils installés]]</f>
        <v>0.42463905680171854</v>
      </c>
      <c r="Q71" s="189">
        <f>($Q$4+$R$4*(Tableau4[[#This Row],[Capacité (BTU)]]/1000))*Tableau4[[#This Row],[Nombres appareils installés]]</f>
        <v>2650</v>
      </c>
      <c r="R71" s="189">
        <f>Tableau4[[#This Row],[AF 1 ($)]]/Tableau4[[#This Row],[Nombres appareils installés]]</f>
        <v>2650</v>
      </c>
      <c r="S71" s="192">
        <f>Tableau4[[#This Row],[AF 1 ($)]]/(J71*D71)</f>
        <v>0.59854542169218961</v>
      </c>
      <c r="T71" s="192">
        <f>Tableau4[[#This Row],[Couverture 1 (%)]]*Tableau4[[#This Row],[Nombres appareils installés]]</f>
        <v>0.59854542169218961</v>
      </c>
      <c r="U71" s="189">
        <f>($U$4+($V$4*(Tableau4[[#This Row],[Capacité (BTU)]]/1000)))*Tableau4[[#This Row],[Nombres appareils installés]]</f>
        <v>2975</v>
      </c>
      <c r="V71" s="189">
        <f>Tableau4[[#This Row],[AF 2 ($)]]/Tableau4[[#This Row],[Nombres appareils installés]]</f>
        <v>2975</v>
      </c>
      <c r="W71" s="193">
        <f>Tableau4[[#This Row],[AF 2 par appareil ($)]]/Tableau4[[#This Row],[Surcoût par appareil ($)]]</f>
        <v>0.67195193567330724</v>
      </c>
      <c r="X71" s="193">
        <f>Tableau4[[#This Row],[Couverture 2 (%)]]*Tableau4[[#This Row],[Nombres appareils installés]]</f>
        <v>0.67195193567330724</v>
      </c>
      <c r="Y71" s="189">
        <f>($Y$4+$Z$4*(Tableau4[[#This Row],[Capacité (BTU)]]/1000))*Tableau4[[#This Row],[Nombres appareils installés]]</f>
        <v>3150</v>
      </c>
      <c r="Z71" s="189">
        <f>Tableau4[[#This Row],[AF 3 ($)]]/Tableau4[[#This Row],[Nombres appareils installés]]</f>
        <v>3150</v>
      </c>
      <c r="AA71" s="194">
        <f>Tableau4[[#This Row],[AF 3 par appareil ($)]]/Tableau4[[#This Row],[Surcoût par appareil ($)]]</f>
        <v>0.71147852012467816</v>
      </c>
      <c r="AB71" s="194">
        <f>Tableau4[[#This Row],[Couverture 3 (%)]]*Tableau4[[#This Row],[Nombres appareils installés]]</f>
        <v>0.71147852012467816</v>
      </c>
      <c r="AC71" s="189">
        <f>($AC$4+$AD$4*(Tableau4[[#This Row],[Capacité (BTU)]]/1000))*Tableau4[[#This Row],[Nombres appareils installés]]</f>
        <v>2720</v>
      </c>
      <c r="AD71" s="189">
        <f>Tableau4[[#This Row],[AF 4 ($)]]/Tableau4[[#This Row],[Nombres appareils installés]]</f>
        <v>2720</v>
      </c>
      <c r="AE71" s="195">
        <f>Tableau4[[#This Row],[Couverture 4 (%)]]*Tableau4[[#This Row],[Nombres appareils installés]]</f>
        <v>0.61435605547273797</v>
      </c>
      <c r="AF71" s="194">
        <f>Tableau4[[#This Row],[AF 4 par appareil  ($)]]/Tableau4[[#This Row],[Surcoût par appareil ($)]]</f>
        <v>0.61435605547273797</v>
      </c>
    </row>
    <row r="72" spans="2:32" x14ac:dyDescent="0.3">
      <c r="B72" s="196" t="s">
        <v>235</v>
      </c>
      <c r="C72" s="189" t="s">
        <v>249</v>
      </c>
      <c r="D72" s="189">
        <v>1</v>
      </c>
      <c r="E72" s="189">
        <v>130000</v>
      </c>
      <c r="F72" s="197">
        <f>Tableau4[[#This Row],[Economies totales (m3)]]/Tableau4[[#This Row],[Nombres appareils installés]]</f>
        <v>656.5</v>
      </c>
      <c r="G72" s="191">
        <v>656.5</v>
      </c>
      <c r="H72" s="189">
        <f t="shared" si="2"/>
        <v>2027.4</v>
      </c>
      <c r="I72" s="189">
        <v>2400</v>
      </c>
      <c r="J72" s="189">
        <f>Tableau4[[#This Row],[Surcoût moyens de l''équipement ($)]]+Tableau4[[#This Row],[Surcoût moyen de l''installation ($)]]</f>
        <v>4427.3999999999996</v>
      </c>
      <c r="K72" s="189">
        <f>Tableau4[[#This Row],[Surcoût par appareil ($)]]*Tableau4[[#This Row],[Nombres appareils installés]]</f>
        <v>4427.3999999999996</v>
      </c>
      <c r="L72" s="191">
        <v>1700</v>
      </c>
      <c r="M72" s="189">
        <f t="shared" si="3"/>
        <v>1550</v>
      </c>
      <c r="N72" s="189">
        <f>Tableau4[[#This Row],[AF 0 ($)]]/Tableau4[[#This Row],[Nombres appareils installés]]</f>
        <v>1550</v>
      </c>
      <c r="O72" s="192">
        <f>(Tableau4[[#This Row],[AF accordée ($)]])/($J$6*D72)</f>
        <v>0.42463905680171854</v>
      </c>
      <c r="P72" s="192">
        <f>Tableau4[[#This Row],[Couverture 0 (%)]]*Tableau4[[#This Row],[Nombres appareils installés]]</f>
        <v>0.42463905680171854</v>
      </c>
      <c r="Q72" s="189">
        <f>($Q$4+$R$4*(Tableau4[[#This Row],[Capacité (BTU)]]/1000))*Tableau4[[#This Row],[Nombres appareils installés]]</f>
        <v>2650</v>
      </c>
      <c r="R72" s="189">
        <f>Tableau4[[#This Row],[AF 1 ($)]]/Tableau4[[#This Row],[Nombres appareils installés]]</f>
        <v>2650</v>
      </c>
      <c r="S72" s="192">
        <f>Tableau4[[#This Row],[AF 1 ($)]]/(J72*D72)</f>
        <v>0.59854542169218961</v>
      </c>
      <c r="T72" s="192">
        <f>Tableau4[[#This Row],[Couverture 1 (%)]]*Tableau4[[#This Row],[Nombres appareils installés]]</f>
        <v>0.59854542169218961</v>
      </c>
      <c r="U72" s="189">
        <f>($U$4+($V$4*(Tableau4[[#This Row],[Capacité (BTU)]]/1000)))*Tableau4[[#This Row],[Nombres appareils installés]]</f>
        <v>2975</v>
      </c>
      <c r="V72" s="189">
        <f>Tableau4[[#This Row],[AF 2 ($)]]/Tableau4[[#This Row],[Nombres appareils installés]]</f>
        <v>2975</v>
      </c>
      <c r="W72" s="193">
        <f>Tableau4[[#This Row],[AF 2 par appareil ($)]]/Tableau4[[#This Row],[Surcoût par appareil ($)]]</f>
        <v>0.67195193567330724</v>
      </c>
      <c r="X72" s="193">
        <f>Tableau4[[#This Row],[Couverture 2 (%)]]*Tableau4[[#This Row],[Nombres appareils installés]]</f>
        <v>0.67195193567330724</v>
      </c>
      <c r="Y72" s="189">
        <f>($Y$4+$Z$4*(Tableau4[[#This Row],[Capacité (BTU)]]/1000))*Tableau4[[#This Row],[Nombres appareils installés]]</f>
        <v>3150</v>
      </c>
      <c r="Z72" s="189">
        <f>Tableau4[[#This Row],[AF 3 ($)]]/Tableau4[[#This Row],[Nombres appareils installés]]</f>
        <v>3150</v>
      </c>
      <c r="AA72" s="194">
        <f>Tableau4[[#This Row],[AF 3 par appareil ($)]]/Tableau4[[#This Row],[Surcoût par appareil ($)]]</f>
        <v>0.71147852012467816</v>
      </c>
      <c r="AB72" s="194">
        <f>Tableau4[[#This Row],[Couverture 3 (%)]]*Tableau4[[#This Row],[Nombres appareils installés]]</f>
        <v>0.71147852012467816</v>
      </c>
      <c r="AC72" s="189">
        <f>($AC$4+$AD$4*(Tableau4[[#This Row],[Capacité (BTU)]]/1000))*Tableau4[[#This Row],[Nombres appareils installés]]</f>
        <v>2720</v>
      </c>
      <c r="AD72" s="189">
        <f>Tableau4[[#This Row],[AF 4 ($)]]/Tableau4[[#This Row],[Nombres appareils installés]]</f>
        <v>2720</v>
      </c>
      <c r="AE72" s="195">
        <f>Tableau4[[#This Row],[Couverture 4 (%)]]*Tableau4[[#This Row],[Nombres appareils installés]]</f>
        <v>0.61435605547273797</v>
      </c>
      <c r="AF72" s="194">
        <f>Tableau4[[#This Row],[AF 4 par appareil  ($)]]/Tableau4[[#This Row],[Surcoût par appareil ($)]]</f>
        <v>0.61435605547273797</v>
      </c>
    </row>
    <row r="73" spans="2:32" x14ac:dyDescent="0.3">
      <c r="B73" s="196" t="s">
        <v>235</v>
      </c>
      <c r="C73" s="189" t="s">
        <v>250</v>
      </c>
      <c r="D73" s="189">
        <v>1</v>
      </c>
      <c r="E73" s="189">
        <v>135000</v>
      </c>
      <c r="F73" s="197">
        <f>Tableau4[[#This Row],[Economies totales (m3)]]/Tableau4[[#This Row],[Nombres appareils installés]]</f>
        <v>681.75</v>
      </c>
      <c r="G73" s="191">
        <v>681.75</v>
      </c>
      <c r="H73" s="189">
        <f t="shared" si="2"/>
        <v>2066.65</v>
      </c>
      <c r="I73" s="189">
        <v>2400</v>
      </c>
      <c r="J73" s="189">
        <f>Tableau4[[#This Row],[Surcoût moyens de l''équipement ($)]]+Tableau4[[#This Row],[Surcoût moyen de l''installation ($)]]</f>
        <v>4466.6499999999996</v>
      </c>
      <c r="K73" s="189">
        <f>Tableau4[[#This Row],[Surcoût par appareil ($)]]*Tableau4[[#This Row],[Nombres appareils installés]]</f>
        <v>4466.6499999999996</v>
      </c>
      <c r="L73" s="191">
        <v>1700</v>
      </c>
      <c r="M73" s="189">
        <f t="shared" si="3"/>
        <v>1575</v>
      </c>
      <c r="N73" s="189">
        <f>Tableau4[[#This Row],[AF 0 ($)]]/Tableau4[[#This Row],[Nombres appareils installés]]</f>
        <v>1575</v>
      </c>
      <c r="O73" s="192">
        <f>(Tableau4[[#This Row],[AF accordée ($)]])/($J$6*D73)</f>
        <v>0.42463905680171854</v>
      </c>
      <c r="P73" s="192">
        <f>Tableau4[[#This Row],[Couverture 0 (%)]]*Tableau4[[#This Row],[Nombres appareils installés]]</f>
        <v>0.42463905680171854</v>
      </c>
      <c r="Q73" s="189">
        <f>($Q$4+$R$4*(Tableau4[[#This Row],[Capacité (BTU)]]/1000))*Tableau4[[#This Row],[Nombres appareils installés]]</f>
        <v>2675</v>
      </c>
      <c r="R73" s="189">
        <f>Tableau4[[#This Row],[AF 1 ($)]]/Tableau4[[#This Row],[Nombres appareils installés]]</f>
        <v>2675</v>
      </c>
      <c r="S73" s="192">
        <f>Tableau4[[#This Row],[AF 1 ($)]]/(J73*D73)</f>
        <v>0.59888283165235701</v>
      </c>
      <c r="T73" s="192">
        <f>Tableau4[[#This Row],[Couverture 1 (%)]]*Tableau4[[#This Row],[Nombres appareils installés]]</f>
        <v>0.59888283165235701</v>
      </c>
      <c r="U73" s="189">
        <f>($U$4+($V$4*(Tableau4[[#This Row],[Capacité (BTU)]]/1000)))*Tableau4[[#This Row],[Nombres appareils installés]]</f>
        <v>3012.5</v>
      </c>
      <c r="V73" s="189">
        <f>Tableau4[[#This Row],[AF 2 ($)]]/Tableau4[[#This Row],[Nombres appareils installés]]</f>
        <v>3012.5</v>
      </c>
      <c r="W73" s="193">
        <f>Tableau4[[#This Row],[AF 2 par appareil ($)]]/Tableau4[[#This Row],[Surcoût par appareil ($)]]</f>
        <v>0.67444281508513093</v>
      </c>
      <c r="X73" s="193">
        <f>Tableau4[[#This Row],[Couverture 2 (%)]]*Tableau4[[#This Row],[Nombres appareils installés]]</f>
        <v>0.67444281508513093</v>
      </c>
      <c r="Y73" s="189">
        <f>($Y$4+$Z$4*(Tableau4[[#This Row],[Capacité (BTU)]]/1000))*Tableau4[[#This Row],[Nombres appareils installés]]</f>
        <v>3175</v>
      </c>
      <c r="Z73" s="189">
        <f>Tableau4[[#This Row],[AF 3 ($)]]/Tableau4[[#This Row],[Nombres appareils installés]]</f>
        <v>3175</v>
      </c>
      <c r="AA73" s="194">
        <f>Tableau4[[#This Row],[AF 3 par appareil ($)]]/Tableau4[[#This Row],[Surcoût par appareil ($)]]</f>
        <v>0.71082354784905921</v>
      </c>
      <c r="AB73" s="194">
        <f>Tableau4[[#This Row],[Couverture 3 (%)]]*Tableau4[[#This Row],[Nombres appareils installés]]</f>
        <v>0.71082354784905921</v>
      </c>
      <c r="AC73" s="189">
        <f>($AC$4+$AD$4*(Tableau4[[#This Row],[Capacité (BTU)]]/1000))*Tableau4[[#This Row],[Nombres appareils installés]]</f>
        <v>2740</v>
      </c>
      <c r="AD73" s="189">
        <f>Tableau4[[#This Row],[AF 4 ($)]]/Tableau4[[#This Row],[Nombres appareils installés]]</f>
        <v>2740</v>
      </c>
      <c r="AE73" s="195">
        <f>Tableau4[[#This Row],[Couverture 4 (%)]]*Tableau4[[#This Row],[Nombres appareils installés]]</f>
        <v>0.61343512475792827</v>
      </c>
      <c r="AF73" s="194">
        <f>Tableau4[[#This Row],[AF 4 par appareil  ($)]]/Tableau4[[#This Row],[Surcoût par appareil ($)]]</f>
        <v>0.61343512475792827</v>
      </c>
    </row>
    <row r="74" spans="2:32" x14ac:dyDescent="0.3">
      <c r="B74" s="196" t="s">
        <v>235</v>
      </c>
      <c r="C74" s="189" t="s">
        <v>251</v>
      </c>
      <c r="D74" s="189">
        <v>2</v>
      </c>
      <c r="E74" s="189">
        <v>135000</v>
      </c>
      <c r="F74" s="197">
        <f>Tableau4[[#This Row],[Economies totales (m3)]]/Tableau4[[#This Row],[Nombres appareils installés]]</f>
        <v>681.75</v>
      </c>
      <c r="G74" s="191">
        <v>1363.5</v>
      </c>
      <c r="H74" s="189">
        <f t="shared" si="2"/>
        <v>2066.65</v>
      </c>
      <c r="I74" s="189">
        <v>2400</v>
      </c>
      <c r="J74" s="189">
        <f>Tableau4[[#This Row],[Surcoût moyens de l''équipement ($)]]+Tableau4[[#This Row],[Surcoût moyen de l''installation ($)]]</f>
        <v>4466.6499999999996</v>
      </c>
      <c r="K74" s="189">
        <f>Tableau4[[#This Row],[Surcoût par appareil ($)]]*Tableau4[[#This Row],[Nombres appareils installés]]</f>
        <v>8933.2999999999993</v>
      </c>
      <c r="L74" s="191">
        <v>3400</v>
      </c>
      <c r="M74" s="189">
        <f t="shared" si="3"/>
        <v>3150</v>
      </c>
      <c r="N74" s="189">
        <f>Tableau4[[#This Row],[AF 0 ($)]]/Tableau4[[#This Row],[Nombres appareils installés]]</f>
        <v>1575</v>
      </c>
      <c r="O74" s="192">
        <f>(Tableau4[[#This Row],[AF accordée ($)]])/($J$6*D74)</f>
        <v>0.42463905680171854</v>
      </c>
      <c r="P74" s="192">
        <f>Tableau4[[#This Row],[Couverture 0 (%)]]*Tableau4[[#This Row],[Nombres appareils installés]]</f>
        <v>0.84927811360343708</v>
      </c>
      <c r="Q74" s="189">
        <f>($Q$4+$R$4*(Tableau4[[#This Row],[Capacité (BTU)]]/1000))*Tableau4[[#This Row],[Nombres appareils installés]]</f>
        <v>5350</v>
      </c>
      <c r="R74" s="189">
        <f>Tableau4[[#This Row],[AF 1 ($)]]/Tableau4[[#This Row],[Nombres appareils installés]]</f>
        <v>2675</v>
      </c>
      <c r="S74" s="192">
        <f>Tableau4[[#This Row],[AF 1 ($)]]/(J74*D74)</f>
        <v>0.59888283165235701</v>
      </c>
      <c r="T74" s="192">
        <f>Tableau4[[#This Row],[Couverture 1 (%)]]*Tableau4[[#This Row],[Nombres appareils installés]]</f>
        <v>1.197765663304714</v>
      </c>
      <c r="U74" s="189">
        <f>($U$4+($V$4*(Tableau4[[#This Row],[Capacité (BTU)]]/1000)))*Tableau4[[#This Row],[Nombres appareils installés]]</f>
        <v>6025</v>
      </c>
      <c r="V74" s="189">
        <f>Tableau4[[#This Row],[AF 2 ($)]]/Tableau4[[#This Row],[Nombres appareils installés]]</f>
        <v>3012.5</v>
      </c>
      <c r="W74" s="193">
        <f>Tableau4[[#This Row],[AF 2 par appareil ($)]]/Tableau4[[#This Row],[Surcoût par appareil ($)]]</f>
        <v>0.67444281508513093</v>
      </c>
      <c r="X74" s="193">
        <f>Tableau4[[#This Row],[Couverture 2 (%)]]*Tableau4[[#This Row],[Nombres appareils installés]]</f>
        <v>1.3488856301702619</v>
      </c>
      <c r="Y74" s="189">
        <f>($Y$4+$Z$4*(Tableau4[[#This Row],[Capacité (BTU)]]/1000))*Tableau4[[#This Row],[Nombres appareils installés]]</f>
        <v>6350</v>
      </c>
      <c r="Z74" s="189">
        <f>Tableau4[[#This Row],[AF 3 ($)]]/Tableau4[[#This Row],[Nombres appareils installés]]</f>
        <v>3175</v>
      </c>
      <c r="AA74" s="194">
        <f>Tableau4[[#This Row],[AF 3 par appareil ($)]]/Tableau4[[#This Row],[Surcoût par appareil ($)]]</f>
        <v>0.71082354784905921</v>
      </c>
      <c r="AB74" s="194">
        <f>Tableau4[[#This Row],[Couverture 3 (%)]]*Tableau4[[#This Row],[Nombres appareils installés]]</f>
        <v>1.4216470956981184</v>
      </c>
      <c r="AC74" s="189">
        <f>($AC$4+$AD$4*(Tableau4[[#This Row],[Capacité (BTU)]]/1000))*Tableau4[[#This Row],[Nombres appareils installés]]</f>
        <v>5480</v>
      </c>
      <c r="AD74" s="189">
        <f>Tableau4[[#This Row],[AF 4 ($)]]/Tableau4[[#This Row],[Nombres appareils installés]]</f>
        <v>2740</v>
      </c>
      <c r="AE74" s="195">
        <f>Tableau4[[#This Row],[Couverture 4 (%)]]*Tableau4[[#This Row],[Nombres appareils installés]]</f>
        <v>1.2268702495158565</v>
      </c>
      <c r="AF74" s="194">
        <f>Tableau4[[#This Row],[AF 4 par appareil  ($)]]/Tableau4[[#This Row],[Surcoût par appareil ($)]]</f>
        <v>0.61343512475792827</v>
      </c>
    </row>
    <row r="75" spans="2:32" x14ac:dyDescent="0.3">
      <c r="B75" s="196" t="s">
        <v>235</v>
      </c>
      <c r="C75" s="189" t="s">
        <v>252</v>
      </c>
      <c r="D75" s="189">
        <v>2</v>
      </c>
      <c r="E75" s="189">
        <v>135000</v>
      </c>
      <c r="F75" s="197">
        <f>Tableau4[[#This Row],[Economies totales (m3)]]/Tableau4[[#This Row],[Nombres appareils installés]]</f>
        <v>681.75</v>
      </c>
      <c r="G75" s="191">
        <v>1363.5</v>
      </c>
      <c r="H75" s="189">
        <f t="shared" si="2"/>
        <v>2066.65</v>
      </c>
      <c r="I75" s="189">
        <v>2400</v>
      </c>
      <c r="J75" s="189">
        <f>Tableau4[[#This Row],[Surcoût moyens de l''équipement ($)]]+Tableau4[[#This Row],[Surcoût moyen de l''installation ($)]]</f>
        <v>4466.6499999999996</v>
      </c>
      <c r="K75" s="189">
        <f>Tableau4[[#This Row],[Surcoût par appareil ($)]]*Tableau4[[#This Row],[Nombres appareils installés]]</f>
        <v>8933.2999999999993</v>
      </c>
      <c r="L75" s="191">
        <v>3400</v>
      </c>
      <c r="M75" s="189">
        <f t="shared" si="3"/>
        <v>3150</v>
      </c>
      <c r="N75" s="189">
        <f>Tableau4[[#This Row],[AF 0 ($)]]/Tableau4[[#This Row],[Nombres appareils installés]]</f>
        <v>1575</v>
      </c>
      <c r="O75" s="192">
        <f>(Tableau4[[#This Row],[AF accordée ($)]])/($J$6*D75)</f>
        <v>0.42463905680171854</v>
      </c>
      <c r="P75" s="192">
        <f>Tableau4[[#This Row],[Couverture 0 (%)]]*Tableau4[[#This Row],[Nombres appareils installés]]</f>
        <v>0.84927811360343708</v>
      </c>
      <c r="Q75" s="189">
        <f>($Q$4+$R$4*(Tableau4[[#This Row],[Capacité (BTU)]]/1000))*Tableau4[[#This Row],[Nombres appareils installés]]</f>
        <v>5350</v>
      </c>
      <c r="R75" s="189">
        <f>Tableau4[[#This Row],[AF 1 ($)]]/Tableau4[[#This Row],[Nombres appareils installés]]</f>
        <v>2675</v>
      </c>
      <c r="S75" s="192">
        <f>Tableau4[[#This Row],[AF 1 ($)]]/(J75*D75)</f>
        <v>0.59888283165235701</v>
      </c>
      <c r="T75" s="192">
        <f>Tableau4[[#This Row],[Couverture 1 (%)]]*Tableau4[[#This Row],[Nombres appareils installés]]</f>
        <v>1.197765663304714</v>
      </c>
      <c r="U75" s="189">
        <f>($U$4+($V$4*(Tableau4[[#This Row],[Capacité (BTU)]]/1000)))*Tableau4[[#This Row],[Nombres appareils installés]]</f>
        <v>6025</v>
      </c>
      <c r="V75" s="189">
        <f>Tableau4[[#This Row],[AF 2 ($)]]/Tableau4[[#This Row],[Nombres appareils installés]]</f>
        <v>3012.5</v>
      </c>
      <c r="W75" s="193">
        <f>Tableau4[[#This Row],[AF 2 par appareil ($)]]/Tableau4[[#This Row],[Surcoût par appareil ($)]]</f>
        <v>0.67444281508513093</v>
      </c>
      <c r="X75" s="193">
        <f>Tableau4[[#This Row],[Couverture 2 (%)]]*Tableau4[[#This Row],[Nombres appareils installés]]</f>
        <v>1.3488856301702619</v>
      </c>
      <c r="Y75" s="189">
        <f>($Y$4+$Z$4*(Tableau4[[#This Row],[Capacité (BTU)]]/1000))*Tableau4[[#This Row],[Nombres appareils installés]]</f>
        <v>6350</v>
      </c>
      <c r="Z75" s="189">
        <f>Tableau4[[#This Row],[AF 3 ($)]]/Tableau4[[#This Row],[Nombres appareils installés]]</f>
        <v>3175</v>
      </c>
      <c r="AA75" s="194">
        <f>Tableau4[[#This Row],[AF 3 par appareil ($)]]/Tableau4[[#This Row],[Surcoût par appareil ($)]]</f>
        <v>0.71082354784905921</v>
      </c>
      <c r="AB75" s="194">
        <f>Tableau4[[#This Row],[Couverture 3 (%)]]*Tableau4[[#This Row],[Nombres appareils installés]]</f>
        <v>1.4216470956981184</v>
      </c>
      <c r="AC75" s="189">
        <f>($AC$4+$AD$4*(Tableau4[[#This Row],[Capacité (BTU)]]/1000))*Tableau4[[#This Row],[Nombres appareils installés]]</f>
        <v>5480</v>
      </c>
      <c r="AD75" s="189">
        <f>Tableau4[[#This Row],[AF 4 ($)]]/Tableau4[[#This Row],[Nombres appareils installés]]</f>
        <v>2740</v>
      </c>
      <c r="AE75" s="195">
        <f>Tableau4[[#This Row],[Couverture 4 (%)]]*Tableau4[[#This Row],[Nombres appareils installés]]</f>
        <v>1.2268702495158565</v>
      </c>
      <c r="AF75" s="194">
        <f>Tableau4[[#This Row],[AF 4 par appareil  ($)]]/Tableau4[[#This Row],[Surcoût par appareil ($)]]</f>
        <v>0.61343512475792827</v>
      </c>
    </row>
    <row r="76" spans="2:32" x14ac:dyDescent="0.3">
      <c r="B76" s="196" t="s">
        <v>235</v>
      </c>
      <c r="C76" s="189" t="s">
        <v>216</v>
      </c>
      <c r="D76" s="189">
        <v>1</v>
      </c>
      <c r="E76" s="189">
        <v>150000</v>
      </c>
      <c r="F76" s="197">
        <f>Tableau4[[#This Row],[Economies totales (m3)]]/Tableau4[[#This Row],[Nombres appareils installés]]</f>
        <v>757.5</v>
      </c>
      <c r="G76" s="191">
        <v>757.5</v>
      </c>
      <c r="H76" s="189">
        <f t="shared" si="2"/>
        <v>2193.4</v>
      </c>
      <c r="I76" s="189">
        <v>2400</v>
      </c>
      <c r="J76" s="189">
        <f>Tableau4[[#This Row],[Surcoût moyens de l''équipement ($)]]+Tableau4[[#This Row],[Surcoût moyen de l''installation ($)]]</f>
        <v>4593.3999999999996</v>
      </c>
      <c r="K76" s="189">
        <f>Tableau4[[#This Row],[Surcoût par appareil ($)]]*Tableau4[[#This Row],[Nombres appareils installés]]</f>
        <v>4593.3999999999996</v>
      </c>
      <c r="L76" s="191">
        <v>1700</v>
      </c>
      <c r="M76" s="189">
        <f t="shared" si="3"/>
        <v>1650</v>
      </c>
      <c r="N76" s="189">
        <f>Tableau4[[#This Row],[AF 0 ($)]]/Tableau4[[#This Row],[Nombres appareils installés]]</f>
        <v>1650</v>
      </c>
      <c r="O76" s="192">
        <f>(Tableau4[[#This Row],[AF accordée ($)]])/($J$6*D76)</f>
        <v>0.42463905680171854</v>
      </c>
      <c r="P76" s="192">
        <f>Tableau4[[#This Row],[Couverture 0 (%)]]*Tableau4[[#This Row],[Nombres appareils installés]]</f>
        <v>0.42463905680171854</v>
      </c>
      <c r="Q76" s="189">
        <f>($Q$4+$R$4*(Tableau4[[#This Row],[Capacité (BTU)]]/1000))*Tableau4[[#This Row],[Nombres appareils installés]]</f>
        <v>2750</v>
      </c>
      <c r="R76" s="189">
        <f>Tableau4[[#This Row],[AF 1 ($)]]/Tableau4[[#This Row],[Nombres appareils installés]]</f>
        <v>2750</v>
      </c>
      <c r="S76" s="192">
        <f>Tableau4[[#This Row],[AF 1 ($)]]/(J76*D76)</f>
        <v>0.59868506988287551</v>
      </c>
      <c r="T76" s="192">
        <f>Tableau4[[#This Row],[Couverture 1 (%)]]*Tableau4[[#This Row],[Nombres appareils installés]]</f>
        <v>0.59868506988287551</v>
      </c>
      <c r="U76" s="189">
        <f>($U$4+($V$4*(Tableau4[[#This Row],[Capacité (BTU)]]/1000)))*Tableau4[[#This Row],[Nombres appareils installés]]</f>
        <v>3125</v>
      </c>
      <c r="V76" s="189">
        <f>Tableau4[[#This Row],[AF 2 ($)]]/Tableau4[[#This Row],[Nombres appareils installés]]</f>
        <v>3125</v>
      </c>
      <c r="W76" s="193">
        <f>Tableau4[[#This Row],[AF 2 par appareil ($)]]/Tableau4[[#This Row],[Surcoût par appareil ($)]]</f>
        <v>0.68032394304872212</v>
      </c>
      <c r="X76" s="193">
        <f>Tableau4[[#This Row],[Couverture 2 (%)]]*Tableau4[[#This Row],[Nombres appareils installés]]</f>
        <v>0.68032394304872212</v>
      </c>
      <c r="Y76" s="189">
        <f>($Y$4+$Z$4*(Tableau4[[#This Row],[Capacité (BTU)]]/1000))*Tableau4[[#This Row],[Nombres appareils installés]]</f>
        <v>3250</v>
      </c>
      <c r="Z76" s="189">
        <f>Tableau4[[#This Row],[AF 3 ($)]]/Tableau4[[#This Row],[Nombres appareils installés]]</f>
        <v>3250</v>
      </c>
      <c r="AA76" s="194">
        <f>Tableau4[[#This Row],[AF 3 par appareil ($)]]/Tableau4[[#This Row],[Surcoût par appareil ($)]]</f>
        <v>0.707536900770671</v>
      </c>
      <c r="AB76" s="194">
        <f>Tableau4[[#This Row],[Couverture 3 (%)]]*Tableau4[[#This Row],[Nombres appareils installés]]</f>
        <v>0.707536900770671</v>
      </c>
      <c r="AC76" s="189">
        <f>($AC$4+$AD$4*(Tableau4[[#This Row],[Capacité (BTU)]]/1000))*Tableau4[[#This Row],[Nombres appareils installés]]</f>
        <v>2800</v>
      </c>
      <c r="AD76" s="189">
        <f>Tableau4[[#This Row],[AF 4 ($)]]/Tableau4[[#This Row],[Nombres appareils installés]]</f>
        <v>2800</v>
      </c>
      <c r="AE76" s="195">
        <f>Tableau4[[#This Row],[Couverture 4 (%)]]*Tableau4[[#This Row],[Nombres appareils installés]]</f>
        <v>0.60957025297165501</v>
      </c>
      <c r="AF76" s="194">
        <f>Tableau4[[#This Row],[AF 4 par appareil  ($)]]/Tableau4[[#This Row],[Surcoût par appareil ($)]]</f>
        <v>0.60957025297165501</v>
      </c>
    </row>
    <row r="77" spans="2:32" x14ac:dyDescent="0.3">
      <c r="B77" s="196" t="s">
        <v>235</v>
      </c>
      <c r="C77" s="189" t="s">
        <v>253</v>
      </c>
      <c r="D77" s="189">
        <v>6</v>
      </c>
      <c r="E77" s="189">
        <v>150000</v>
      </c>
      <c r="F77" s="197">
        <f>Tableau4[[#This Row],[Economies totales (m3)]]/Tableau4[[#This Row],[Nombres appareils installés]]</f>
        <v>757.5</v>
      </c>
      <c r="G77" s="191">
        <v>4545</v>
      </c>
      <c r="H77" s="189">
        <f t="shared" si="2"/>
        <v>2193.4</v>
      </c>
      <c r="I77" s="189">
        <v>2400</v>
      </c>
      <c r="J77" s="189">
        <f>Tableau4[[#This Row],[Surcoût moyens de l''équipement ($)]]+Tableau4[[#This Row],[Surcoût moyen de l''installation ($)]]</f>
        <v>4593.3999999999996</v>
      </c>
      <c r="K77" s="189">
        <f>Tableau4[[#This Row],[Surcoût par appareil ($)]]*Tableau4[[#This Row],[Nombres appareils installés]]</f>
        <v>27560.399999999998</v>
      </c>
      <c r="L77" s="191">
        <v>10200</v>
      </c>
      <c r="M77" s="189">
        <f t="shared" si="3"/>
        <v>9900</v>
      </c>
      <c r="N77" s="189">
        <f>Tableau4[[#This Row],[AF 0 ($)]]/Tableau4[[#This Row],[Nombres appareils installés]]</f>
        <v>1650</v>
      </c>
      <c r="O77" s="192">
        <f>(Tableau4[[#This Row],[AF accordée ($)]])/($J$6*D77)</f>
        <v>0.42463905680171854</v>
      </c>
      <c r="P77" s="192">
        <f>Tableau4[[#This Row],[Couverture 0 (%)]]*Tableau4[[#This Row],[Nombres appareils installés]]</f>
        <v>2.5478343408103115</v>
      </c>
      <c r="Q77" s="189">
        <f>($Q$4+$R$4*(Tableau4[[#This Row],[Capacité (BTU)]]/1000))*Tableau4[[#This Row],[Nombres appareils installés]]</f>
        <v>16500</v>
      </c>
      <c r="R77" s="189">
        <f>Tableau4[[#This Row],[AF 1 ($)]]/Tableau4[[#This Row],[Nombres appareils installés]]</f>
        <v>2750</v>
      </c>
      <c r="S77" s="192">
        <f>Tableau4[[#This Row],[AF 1 ($)]]/(J77*D77)</f>
        <v>0.59868506988287551</v>
      </c>
      <c r="T77" s="192">
        <f>Tableau4[[#This Row],[Couverture 1 (%)]]*Tableau4[[#This Row],[Nombres appareils installés]]</f>
        <v>3.5921104192972528</v>
      </c>
      <c r="U77" s="189">
        <f>($U$4+($V$4*(Tableau4[[#This Row],[Capacité (BTU)]]/1000)))*Tableau4[[#This Row],[Nombres appareils installés]]</f>
        <v>18750</v>
      </c>
      <c r="V77" s="189">
        <f>Tableau4[[#This Row],[AF 2 ($)]]/Tableau4[[#This Row],[Nombres appareils installés]]</f>
        <v>3125</v>
      </c>
      <c r="W77" s="193">
        <f>Tableau4[[#This Row],[AF 2 par appareil ($)]]/Tableau4[[#This Row],[Surcoût par appareil ($)]]</f>
        <v>0.68032394304872212</v>
      </c>
      <c r="X77" s="193">
        <f>Tableau4[[#This Row],[Couverture 2 (%)]]*Tableau4[[#This Row],[Nombres appareils installés]]</f>
        <v>4.0819436582923325</v>
      </c>
      <c r="Y77" s="189">
        <f>($Y$4+$Z$4*(Tableau4[[#This Row],[Capacité (BTU)]]/1000))*Tableau4[[#This Row],[Nombres appareils installés]]</f>
        <v>19500</v>
      </c>
      <c r="Z77" s="189">
        <f>Tableau4[[#This Row],[AF 3 ($)]]/Tableau4[[#This Row],[Nombres appareils installés]]</f>
        <v>3250</v>
      </c>
      <c r="AA77" s="194">
        <f>Tableau4[[#This Row],[AF 3 par appareil ($)]]/Tableau4[[#This Row],[Surcoût par appareil ($)]]</f>
        <v>0.707536900770671</v>
      </c>
      <c r="AB77" s="194">
        <f>Tableau4[[#This Row],[Couverture 3 (%)]]*Tableau4[[#This Row],[Nombres appareils installés]]</f>
        <v>4.2452214046240258</v>
      </c>
      <c r="AC77" s="189">
        <f>($AC$4+$AD$4*(Tableau4[[#This Row],[Capacité (BTU)]]/1000))*Tableau4[[#This Row],[Nombres appareils installés]]</f>
        <v>16800</v>
      </c>
      <c r="AD77" s="189">
        <f>Tableau4[[#This Row],[AF 4 ($)]]/Tableau4[[#This Row],[Nombres appareils installés]]</f>
        <v>2800</v>
      </c>
      <c r="AE77" s="195">
        <f>Tableau4[[#This Row],[Couverture 4 (%)]]*Tableau4[[#This Row],[Nombres appareils installés]]</f>
        <v>3.6574215178299303</v>
      </c>
      <c r="AF77" s="194">
        <f>Tableau4[[#This Row],[AF 4 par appareil  ($)]]/Tableau4[[#This Row],[Surcoût par appareil ($)]]</f>
        <v>0.60957025297165501</v>
      </c>
    </row>
    <row r="78" spans="2:32" x14ac:dyDescent="0.3">
      <c r="B78" s="196" t="s">
        <v>235</v>
      </c>
      <c r="C78" s="189" t="s">
        <v>254</v>
      </c>
      <c r="D78" s="189">
        <v>1</v>
      </c>
      <c r="E78" s="189">
        <v>180000</v>
      </c>
      <c r="F78" s="197">
        <f>Tableau4[[#This Row],[Economies totales (m3)]]/Tableau4[[#This Row],[Nombres appareils installés]]</f>
        <v>909</v>
      </c>
      <c r="G78" s="191">
        <v>909</v>
      </c>
      <c r="H78" s="189">
        <f t="shared" si="2"/>
        <v>2487.4</v>
      </c>
      <c r="I78" s="189">
        <v>2400</v>
      </c>
      <c r="J78" s="189">
        <f>Tableau4[[#This Row],[Surcoût moyens de l''équipement ($)]]+Tableau4[[#This Row],[Surcoût moyen de l''installation ($)]]</f>
        <v>4887.3999999999996</v>
      </c>
      <c r="K78" s="189">
        <f>Tableau4[[#This Row],[Surcoût par appareil ($)]]*Tableau4[[#This Row],[Nombres appareils installés]]</f>
        <v>4887.3999999999996</v>
      </c>
      <c r="L78" s="191">
        <v>1700</v>
      </c>
      <c r="M78" s="189">
        <f t="shared" si="3"/>
        <v>1800</v>
      </c>
      <c r="N78" s="189">
        <f>Tableau4[[#This Row],[AF 0 ($)]]/Tableau4[[#This Row],[Nombres appareils installés]]</f>
        <v>1800</v>
      </c>
      <c r="O78" s="192">
        <f>(Tableau4[[#This Row],[AF accordée ($)]])/($J$6*D78)</f>
        <v>0.42463905680171854</v>
      </c>
      <c r="P78" s="192">
        <f>Tableau4[[#This Row],[Couverture 0 (%)]]*Tableau4[[#This Row],[Nombres appareils installés]]</f>
        <v>0.42463905680171854</v>
      </c>
      <c r="Q78" s="189">
        <f>($Q$4+$R$4*(Tableau4[[#This Row],[Capacité (BTU)]]/1000))*Tableau4[[#This Row],[Nombres appareils installés]]</f>
        <v>2900</v>
      </c>
      <c r="R78" s="189">
        <f>Tableau4[[#This Row],[AF 1 ($)]]/Tableau4[[#This Row],[Nombres appareils installés]]</f>
        <v>2900</v>
      </c>
      <c r="S78" s="192">
        <f>Tableau4[[#This Row],[AF 1 ($)]]/(J78*D78)</f>
        <v>0.59336252404141265</v>
      </c>
      <c r="T78" s="192">
        <f>Tableau4[[#This Row],[Couverture 1 (%)]]*Tableau4[[#This Row],[Nombres appareils installés]]</f>
        <v>0.59336252404141265</v>
      </c>
      <c r="U78" s="189">
        <f>($U$4+($V$4*(Tableau4[[#This Row],[Capacité (BTU)]]/1000)))*Tableau4[[#This Row],[Nombres appareils installés]]</f>
        <v>3350</v>
      </c>
      <c r="V78" s="189">
        <f>Tableau4[[#This Row],[AF 2 ($)]]/Tableau4[[#This Row],[Nombres appareils installés]]</f>
        <v>3350</v>
      </c>
      <c r="W78" s="193">
        <f>Tableau4[[#This Row],[AF 2 par appareil ($)]]/Tableau4[[#This Row],[Surcoût par appareil ($)]]</f>
        <v>0.68543601915128705</v>
      </c>
      <c r="X78" s="193">
        <f>Tableau4[[#This Row],[Couverture 2 (%)]]*Tableau4[[#This Row],[Nombres appareils installés]]</f>
        <v>0.68543601915128705</v>
      </c>
      <c r="Y78" s="189">
        <f>($Y$4+$Z$4*(Tableau4[[#This Row],[Capacité (BTU)]]/1000))*Tableau4[[#This Row],[Nombres appareils installés]]</f>
        <v>3400</v>
      </c>
      <c r="Z78" s="189">
        <f>Tableau4[[#This Row],[AF 3 ($)]]/Tableau4[[#This Row],[Nombres appareils installés]]</f>
        <v>3400</v>
      </c>
      <c r="AA78" s="194">
        <f>Tableau4[[#This Row],[AF 3 par appareil ($)]]/Tableau4[[#This Row],[Surcoût par appareil ($)]]</f>
        <v>0.69566640749682862</v>
      </c>
      <c r="AB78" s="194">
        <f>Tableau4[[#This Row],[Couverture 3 (%)]]*Tableau4[[#This Row],[Nombres appareils installés]]</f>
        <v>0.69566640749682862</v>
      </c>
      <c r="AC78" s="189">
        <f>($AC$4+$AD$4*(Tableau4[[#This Row],[Capacité (BTU)]]/1000))*Tableau4[[#This Row],[Nombres appareils installés]]</f>
        <v>2920</v>
      </c>
      <c r="AD78" s="189">
        <f>Tableau4[[#This Row],[AF 4 ($)]]/Tableau4[[#This Row],[Nombres appareils installés]]</f>
        <v>2920</v>
      </c>
      <c r="AE78" s="195">
        <f>Tableau4[[#This Row],[Couverture 4 (%)]]*Tableau4[[#This Row],[Nombres appareils installés]]</f>
        <v>0.59745467937962926</v>
      </c>
      <c r="AF78" s="194">
        <f>Tableau4[[#This Row],[AF 4 par appareil  ($)]]/Tableau4[[#This Row],[Surcoût par appareil ($)]]</f>
        <v>0.59745467937962926</v>
      </c>
    </row>
    <row r="79" spans="2:32" x14ac:dyDescent="0.3">
      <c r="B79" s="196" t="s">
        <v>235</v>
      </c>
      <c r="C79" s="189" t="s">
        <v>255</v>
      </c>
      <c r="D79" s="189">
        <v>1</v>
      </c>
      <c r="E79" s="189">
        <v>180000</v>
      </c>
      <c r="F79" s="197">
        <f>Tableau4[[#This Row],[Economies totales (m3)]]/Tableau4[[#This Row],[Nombres appareils installés]]</f>
        <v>909</v>
      </c>
      <c r="G79" s="191">
        <v>909</v>
      </c>
      <c r="H79" s="189">
        <f t="shared" si="2"/>
        <v>2487.4</v>
      </c>
      <c r="I79" s="189">
        <v>2400</v>
      </c>
      <c r="J79" s="189">
        <f>Tableau4[[#This Row],[Surcoût moyens de l''équipement ($)]]+Tableau4[[#This Row],[Surcoût moyen de l''installation ($)]]</f>
        <v>4887.3999999999996</v>
      </c>
      <c r="K79" s="189">
        <f>Tableau4[[#This Row],[Surcoût par appareil ($)]]*Tableau4[[#This Row],[Nombres appareils installés]]</f>
        <v>4887.3999999999996</v>
      </c>
      <c r="L79" s="191">
        <v>1700</v>
      </c>
      <c r="M79" s="189">
        <f t="shared" si="3"/>
        <v>1800</v>
      </c>
      <c r="N79" s="189">
        <f>Tableau4[[#This Row],[AF 0 ($)]]/Tableau4[[#This Row],[Nombres appareils installés]]</f>
        <v>1800</v>
      </c>
      <c r="O79" s="192">
        <f>(Tableau4[[#This Row],[AF accordée ($)]])/($J$6*D79)</f>
        <v>0.42463905680171854</v>
      </c>
      <c r="P79" s="192">
        <f>Tableau4[[#This Row],[Couverture 0 (%)]]*Tableau4[[#This Row],[Nombres appareils installés]]</f>
        <v>0.42463905680171854</v>
      </c>
      <c r="Q79" s="189">
        <f>($Q$4+$R$4*(Tableau4[[#This Row],[Capacité (BTU)]]/1000))*Tableau4[[#This Row],[Nombres appareils installés]]</f>
        <v>2900</v>
      </c>
      <c r="R79" s="189">
        <f>Tableau4[[#This Row],[AF 1 ($)]]/Tableau4[[#This Row],[Nombres appareils installés]]</f>
        <v>2900</v>
      </c>
      <c r="S79" s="192">
        <f>Tableau4[[#This Row],[AF 1 ($)]]/(J79*D79)</f>
        <v>0.59336252404141265</v>
      </c>
      <c r="T79" s="192">
        <f>Tableau4[[#This Row],[Couverture 1 (%)]]*Tableau4[[#This Row],[Nombres appareils installés]]</f>
        <v>0.59336252404141265</v>
      </c>
      <c r="U79" s="189">
        <f>($U$4+($V$4*(Tableau4[[#This Row],[Capacité (BTU)]]/1000)))*Tableau4[[#This Row],[Nombres appareils installés]]</f>
        <v>3350</v>
      </c>
      <c r="V79" s="189">
        <f>Tableau4[[#This Row],[AF 2 ($)]]/Tableau4[[#This Row],[Nombres appareils installés]]</f>
        <v>3350</v>
      </c>
      <c r="W79" s="193">
        <f>Tableau4[[#This Row],[AF 2 par appareil ($)]]/Tableau4[[#This Row],[Surcoût par appareil ($)]]</f>
        <v>0.68543601915128705</v>
      </c>
      <c r="X79" s="193">
        <f>Tableau4[[#This Row],[Couverture 2 (%)]]*Tableau4[[#This Row],[Nombres appareils installés]]</f>
        <v>0.68543601915128705</v>
      </c>
      <c r="Y79" s="189">
        <f>($Y$4+$Z$4*(Tableau4[[#This Row],[Capacité (BTU)]]/1000))*Tableau4[[#This Row],[Nombres appareils installés]]</f>
        <v>3400</v>
      </c>
      <c r="Z79" s="189">
        <f>Tableau4[[#This Row],[AF 3 ($)]]/Tableau4[[#This Row],[Nombres appareils installés]]</f>
        <v>3400</v>
      </c>
      <c r="AA79" s="194">
        <f>Tableau4[[#This Row],[AF 3 par appareil ($)]]/Tableau4[[#This Row],[Surcoût par appareil ($)]]</f>
        <v>0.69566640749682862</v>
      </c>
      <c r="AB79" s="194">
        <f>Tableau4[[#This Row],[Couverture 3 (%)]]*Tableau4[[#This Row],[Nombres appareils installés]]</f>
        <v>0.69566640749682862</v>
      </c>
      <c r="AC79" s="189">
        <f>($AC$4+$AD$4*(Tableau4[[#This Row],[Capacité (BTU)]]/1000))*Tableau4[[#This Row],[Nombres appareils installés]]</f>
        <v>2920</v>
      </c>
      <c r="AD79" s="189">
        <f>Tableau4[[#This Row],[AF 4 ($)]]/Tableau4[[#This Row],[Nombres appareils installés]]</f>
        <v>2920</v>
      </c>
      <c r="AE79" s="195">
        <f>Tableau4[[#This Row],[Couverture 4 (%)]]*Tableau4[[#This Row],[Nombres appareils installés]]</f>
        <v>0.59745467937962926</v>
      </c>
      <c r="AF79" s="194">
        <f>Tableau4[[#This Row],[AF 4 par appareil  ($)]]/Tableau4[[#This Row],[Surcoût par appareil ($)]]</f>
        <v>0.59745467937962926</v>
      </c>
    </row>
    <row r="80" spans="2:32" x14ac:dyDescent="0.3">
      <c r="B80" s="196" t="s">
        <v>235</v>
      </c>
      <c r="C80" s="189" t="s">
        <v>256</v>
      </c>
      <c r="D80" s="189">
        <v>1</v>
      </c>
      <c r="E80" s="189">
        <v>180000</v>
      </c>
      <c r="F80" s="197">
        <f>Tableau4[[#This Row],[Economies totales (m3)]]/Tableau4[[#This Row],[Nombres appareils installés]]</f>
        <v>909</v>
      </c>
      <c r="G80" s="191">
        <v>909</v>
      </c>
      <c r="H80" s="189">
        <f t="shared" si="2"/>
        <v>2487.4</v>
      </c>
      <c r="I80" s="189">
        <v>2400</v>
      </c>
      <c r="J80" s="189">
        <f>Tableau4[[#This Row],[Surcoût moyens de l''équipement ($)]]+Tableau4[[#This Row],[Surcoût moyen de l''installation ($)]]</f>
        <v>4887.3999999999996</v>
      </c>
      <c r="K80" s="189">
        <f>Tableau4[[#This Row],[Surcoût par appareil ($)]]*Tableau4[[#This Row],[Nombres appareils installés]]</f>
        <v>4887.3999999999996</v>
      </c>
      <c r="L80" s="191">
        <v>1700</v>
      </c>
      <c r="M80" s="189">
        <f t="shared" si="3"/>
        <v>1800</v>
      </c>
      <c r="N80" s="189">
        <f>Tableau4[[#This Row],[AF 0 ($)]]/Tableau4[[#This Row],[Nombres appareils installés]]</f>
        <v>1800</v>
      </c>
      <c r="O80" s="192">
        <f>(Tableau4[[#This Row],[AF accordée ($)]])/($J$6*D80)</f>
        <v>0.42463905680171854</v>
      </c>
      <c r="P80" s="192">
        <f>Tableau4[[#This Row],[Couverture 0 (%)]]*Tableau4[[#This Row],[Nombres appareils installés]]</f>
        <v>0.42463905680171854</v>
      </c>
      <c r="Q80" s="189">
        <f>($Q$4+$R$4*(Tableau4[[#This Row],[Capacité (BTU)]]/1000))*Tableau4[[#This Row],[Nombres appareils installés]]</f>
        <v>2900</v>
      </c>
      <c r="R80" s="189">
        <f>Tableau4[[#This Row],[AF 1 ($)]]/Tableau4[[#This Row],[Nombres appareils installés]]</f>
        <v>2900</v>
      </c>
      <c r="S80" s="192">
        <f>Tableau4[[#This Row],[AF 1 ($)]]/(J80*D80)</f>
        <v>0.59336252404141265</v>
      </c>
      <c r="T80" s="192">
        <f>Tableau4[[#This Row],[Couverture 1 (%)]]*Tableau4[[#This Row],[Nombres appareils installés]]</f>
        <v>0.59336252404141265</v>
      </c>
      <c r="U80" s="189">
        <f>($U$4+($V$4*(Tableau4[[#This Row],[Capacité (BTU)]]/1000)))*Tableau4[[#This Row],[Nombres appareils installés]]</f>
        <v>3350</v>
      </c>
      <c r="V80" s="189">
        <f>Tableau4[[#This Row],[AF 2 ($)]]/Tableau4[[#This Row],[Nombres appareils installés]]</f>
        <v>3350</v>
      </c>
      <c r="W80" s="193">
        <f>Tableau4[[#This Row],[AF 2 par appareil ($)]]/Tableau4[[#This Row],[Surcoût par appareil ($)]]</f>
        <v>0.68543601915128705</v>
      </c>
      <c r="X80" s="193">
        <f>Tableau4[[#This Row],[Couverture 2 (%)]]*Tableau4[[#This Row],[Nombres appareils installés]]</f>
        <v>0.68543601915128705</v>
      </c>
      <c r="Y80" s="189">
        <f>($Y$4+$Z$4*(Tableau4[[#This Row],[Capacité (BTU)]]/1000))*Tableau4[[#This Row],[Nombres appareils installés]]</f>
        <v>3400</v>
      </c>
      <c r="Z80" s="189">
        <f>Tableau4[[#This Row],[AF 3 ($)]]/Tableau4[[#This Row],[Nombres appareils installés]]</f>
        <v>3400</v>
      </c>
      <c r="AA80" s="194">
        <f>Tableau4[[#This Row],[AF 3 par appareil ($)]]/Tableau4[[#This Row],[Surcoût par appareil ($)]]</f>
        <v>0.69566640749682862</v>
      </c>
      <c r="AB80" s="194">
        <f>Tableau4[[#This Row],[Couverture 3 (%)]]*Tableau4[[#This Row],[Nombres appareils installés]]</f>
        <v>0.69566640749682862</v>
      </c>
      <c r="AC80" s="189">
        <f>($AC$4+$AD$4*(Tableau4[[#This Row],[Capacité (BTU)]]/1000))*Tableau4[[#This Row],[Nombres appareils installés]]</f>
        <v>2920</v>
      </c>
      <c r="AD80" s="189">
        <f>Tableau4[[#This Row],[AF 4 ($)]]/Tableau4[[#This Row],[Nombres appareils installés]]</f>
        <v>2920</v>
      </c>
      <c r="AE80" s="195">
        <f>Tableau4[[#This Row],[Couverture 4 (%)]]*Tableau4[[#This Row],[Nombres appareils installés]]</f>
        <v>0.59745467937962926</v>
      </c>
      <c r="AF80" s="194">
        <f>Tableau4[[#This Row],[AF 4 par appareil  ($)]]/Tableau4[[#This Row],[Surcoût par appareil ($)]]</f>
        <v>0.59745467937962926</v>
      </c>
    </row>
    <row r="81" spans="2:32" x14ac:dyDescent="0.3">
      <c r="B81" s="196" t="s">
        <v>235</v>
      </c>
      <c r="C81" s="189" t="s">
        <v>257</v>
      </c>
      <c r="D81" s="189">
        <v>1</v>
      </c>
      <c r="E81" s="189">
        <v>180000</v>
      </c>
      <c r="F81" s="197">
        <f>Tableau4[[#This Row],[Economies totales (m3)]]/Tableau4[[#This Row],[Nombres appareils installés]]</f>
        <v>909</v>
      </c>
      <c r="G81" s="191">
        <v>909</v>
      </c>
      <c r="H81" s="189">
        <f t="shared" si="2"/>
        <v>2487.4</v>
      </c>
      <c r="I81" s="189">
        <v>2400</v>
      </c>
      <c r="J81" s="189">
        <f>Tableau4[[#This Row],[Surcoût moyens de l''équipement ($)]]+Tableau4[[#This Row],[Surcoût moyen de l''installation ($)]]</f>
        <v>4887.3999999999996</v>
      </c>
      <c r="K81" s="189">
        <f>Tableau4[[#This Row],[Surcoût par appareil ($)]]*Tableau4[[#This Row],[Nombres appareils installés]]</f>
        <v>4887.3999999999996</v>
      </c>
      <c r="L81" s="191">
        <v>1700</v>
      </c>
      <c r="M81" s="189">
        <f t="shared" si="3"/>
        <v>1800</v>
      </c>
      <c r="N81" s="189">
        <f>Tableau4[[#This Row],[AF 0 ($)]]/Tableau4[[#This Row],[Nombres appareils installés]]</f>
        <v>1800</v>
      </c>
      <c r="O81" s="192">
        <f>(Tableau4[[#This Row],[AF accordée ($)]])/($J$6*D81)</f>
        <v>0.42463905680171854</v>
      </c>
      <c r="P81" s="192">
        <f>Tableau4[[#This Row],[Couverture 0 (%)]]*Tableau4[[#This Row],[Nombres appareils installés]]</f>
        <v>0.42463905680171854</v>
      </c>
      <c r="Q81" s="189">
        <f>($Q$4+$R$4*(Tableau4[[#This Row],[Capacité (BTU)]]/1000))*Tableau4[[#This Row],[Nombres appareils installés]]</f>
        <v>2900</v>
      </c>
      <c r="R81" s="189">
        <f>Tableau4[[#This Row],[AF 1 ($)]]/Tableau4[[#This Row],[Nombres appareils installés]]</f>
        <v>2900</v>
      </c>
      <c r="S81" s="192">
        <f>Tableau4[[#This Row],[AF 1 ($)]]/(J81*D81)</f>
        <v>0.59336252404141265</v>
      </c>
      <c r="T81" s="192">
        <f>Tableau4[[#This Row],[Couverture 1 (%)]]*Tableau4[[#This Row],[Nombres appareils installés]]</f>
        <v>0.59336252404141265</v>
      </c>
      <c r="U81" s="189">
        <f>($U$4+($V$4*(Tableau4[[#This Row],[Capacité (BTU)]]/1000)))*Tableau4[[#This Row],[Nombres appareils installés]]</f>
        <v>3350</v>
      </c>
      <c r="V81" s="189">
        <f>Tableau4[[#This Row],[AF 2 ($)]]/Tableau4[[#This Row],[Nombres appareils installés]]</f>
        <v>3350</v>
      </c>
      <c r="W81" s="193">
        <f>Tableau4[[#This Row],[AF 2 par appareil ($)]]/Tableau4[[#This Row],[Surcoût par appareil ($)]]</f>
        <v>0.68543601915128705</v>
      </c>
      <c r="X81" s="193">
        <f>Tableau4[[#This Row],[Couverture 2 (%)]]*Tableau4[[#This Row],[Nombres appareils installés]]</f>
        <v>0.68543601915128705</v>
      </c>
      <c r="Y81" s="189">
        <f>($Y$4+$Z$4*(Tableau4[[#This Row],[Capacité (BTU)]]/1000))*Tableau4[[#This Row],[Nombres appareils installés]]</f>
        <v>3400</v>
      </c>
      <c r="Z81" s="189">
        <f>Tableau4[[#This Row],[AF 3 ($)]]/Tableau4[[#This Row],[Nombres appareils installés]]</f>
        <v>3400</v>
      </c>
      <c r="AA81" s="194">
        <f>Tableau4[[#This Row],[AF 3 par appareil ($)]]/Tableau4[[#This Row],[Surcoût par appareil ($)]]</f>
        <v>0.69566640749682862</v>
      </c>
      <c r="AB81" s="194">
        <f>Tableau4[[#This Row],[Couverture 3 (%)]]*Tableau4[[#This Row],[Nombres appareils installés]]</f>
        <v>0.69566640749682862</v>
      </c>
      <c r="AC81" s="189">
        <f>($AC$4+$AD$4*(Tableau4[[#This Row],[Capacité (BTU)]]/1000))*Tableau4[[#This Row],[Nombres appareils installés]]</f>
        <v>2920</v>
      </c>
      <c r="AD81" s="189">
        <f>Tableau4[[#This Row],[AF 4 ($)]]/Tableau4[[#This Row],[Nombres appareils installés]]</f>
        <v>2920</v>
      </c>
      <c r="AE81" s="195">
        <f>Tableau4[[#This Row],[Couverture 4 (%)]]*Tableau4[[#This Row],[Nombres appareils installés]]</f>
        <v>0.59745467937962926</v>
      </c>
      <c r="AF81" s="194">
        <f>Tableau4[[#This Row],[AF 4 par appareil  ($)]]/Tableau4[[#This Row],[Surcoût par appareil ($)]]</f>
        <v>0.59745467937962926</v>
      </c>
    </row>
    <row r="82" spans="2:32" x14ac:dyDescent="0.3">
      <c r="B82" s="196" t="s">
        <v>235</v>
      </c>
      <c r="C82" s="189" t="s">
        <v>258</v>
      </c>
      <c r="D82" s="189">
        <v>1</v>
      </c>
      <c r="E82" s="189">
        <v>180000</v>
      </c>
      <c r="F82" s="197">
        <f>Tableau4[[#This Row],[Economies totales (m3)]]/Tableau4[[#This Row],[Nombres appareils installés]]</f>
        <v>909</v>
      </c>
      <c r="G82" s="191">
        <v>909</v>
      </c>
      <c r="H82" s="189">
        <f t="shared" si="2"/>
        <v>2487.4</v>
      </c>
      <c r="I82" s="189">
        <v>2400</v>
      </c>
      <c r="J82" s="189">
        <f>Tableau4[[#This Row],[Surcoût moyens de l''équipement ($)]]+Tableau4[[#This Row],[Surcoût moyen de l''installation ($)]]</f>
        <v>4887.3999999999996</v>
      </c>
      <c r="K82" s="189">
        <f>Tableau4[[#This Row],[Surcoût par appareil ($)]]*Tableau4[[#This Row],[Nombres appareils installés]]</f>
        <v>4887.3999999999996</v>
      </c>
      <c r="L82" s="191">
        <v>1700</v>
      </c>
      <c r="M82" s="189">
        <f t="shared" si="3"/>
        <v>1800</v>
      </c>
      <c r="N82" s="189">
        <f>Tableau4[[#This Row],[AF 0 ($)]]/Tableau4[[#This Row],[Nombres appareils installés]]</f>
        <v>1800</v>
      </c>
      <c r="O82" s="192">
        <f>(Tableau4[[#This Row],[AF accordée ($)]])/($J$6*D82)</f>
        <v>0.42463905680171854</v>
      </c>
      <c r="P82" s="192">
        <f>Tableau4[[#This Row],[Couverture 0 (%)]]*Tableau4[[#This Row],[Nombres appareils installés]]</f>
        <v>0.42463905680171854</v>
      </c>
      <c r="Q82" s="189">
        <f>($Q$4+$R$4*(Tableau4[[#This Row],[Capacité (BTU)]]/1000))*Tableau4[[#This Row],[Nombres appareils installés]]</f>
        <v>2900</v>
      </c>
      <c r="R82" s="189">
        <f>Tableau4[[#This Row],[AF 1 ($)]]/Tableau4[[#This Row],[Nombres appareils installés]]</f>
        <v>2900</v>
      </c>
      <c r="S82" s="192">
        <f>Tableau4[[#This Row],[AF 1 ($)]]/(J82*D82)</f>
        <v>0.59336252404141265</v>
      </c>
      <c r="T82" s="192">
        <f>Tableau4[[#This Row],[Couverture 1 (%)]]*Tableau4[[#This Row],[Nombres appareils installés]]</f>
        <v>0.59336252404141265</v>
      </c>
      <c r="U82" s="189">
        <f>($U$4+($V$4*(Tableau4[[#This Row],[Capacité (BTU)]]/1000)))*Tableau4[[#This Row],[Nombres appareils installés]]</f>
        <v>3350</v>
      </c>
      <c r="V82" s="189">
        <f>Tableau4[[#This Row],[AF 2 ($)]]/Tableau4[[#This Row],[Nombres appareils installés]]</f>
        <v>3350</v>
      </c>
      <c r="W82" s="193">
        <f>Tableau4[[#This Row],[AF 2 par appareil ($)]]/Tableau4[[#This Row],[Surcoût par appareil ($)]]</f>
        <v>0.68543601915128705</v>
      </c>
      <c r="X82" s="193">
        <f>Tableau4[[#This Row],[Couverture 2 (%)]]*Tableau4[[#This Row],[Nombres appareils installés]]</f>
        <v>0.68543601915128705</v>
      </c>
      <c r="Y82" s="189">
        <f>($Y$4+$Z$4*(Tableau4[[#This Row],[Capacité (BTU)]]/1000))*Tableau4[[#This Row],[Nombres appareils installés]]</f>
        <v>3400</v>
      </c>
      <c r="Z82" s="189">
        <f>Tableau4[[#This Row],[AF 3 ($)]]/Tableau4[[#This Row],[Nombres appareils installés]]</f>
        <v>3400</v>
      </c>
      <c r="AA82" s="194">
        <f>Tableau4[[#This Row],[AF 3 par appareil ($)]]/Tableau4[[#This Row],[Surcoût par appareil ($)]]</f>
        <v>0.69566640749682862</v>
      </c>
      <c r="AB82" s="194">
        <f>Tableau4[[#This Row],[Couverture 3 (%)]]*Tableau4[[#This Row],[Nombres appareils installés]]</f>
        <v>0.69566640749682862</v>
      </c>
      <c r="AC82" s="189">
        <f>($AC$4+$AD$4*(Tableau4[[#This Row],[Capacité (BTU)]]/1000))*Tableau4[[#This Row],[Nombres appareils installés]]</f>
        <v>2920</v>
      </c>
      <c r="AD82" s="189">
        <f>Tableau4[[#This Row],[AF 4 ($)]]/Tableau4[[#This Row],[Nombres appareils installés]]</f>
        <v>2920</v>
      </c>
      <c r="AE82" s="195">
        <f>Tableau4[[#This Row],[Couverture 4 (%)]]*Tableau4[[#This Row],[Nombres appareils installés]]</f>
        <v>0.59745467937962926</v>
      </c>
      <c r="AF82" s="194">
        <f>Tableau4[[#This Row],[AF 4 par appareil  ($)]]/Tableau4[[#This Row],[Surcoût par appareil ($)]]</f>
        <v>0.59745467937962926</v>
      </c>
    </row>
    <row r="83" spans="2:32" x14ac:dyDescent="0.3">
      <c r="B83" s="196" t="s">
        <v>235</v>
      </c>
      <c r="C83" s="189" t="s">
        <v>216</v>
      </c>
      <c r="D83" s="189">
        <v>1</v>
      </c>
      <c r="E83" s="189">
        <v>180000</v>
      </c>
      <c r="F83" s="197">
        <f>Tableau4[[#This Row],[Economies totales (m3)]]/Tableau4[[#This Row],[Nombres appareils installés]]</f>
        <v>909</v>
      </c>
      <c r="G83" s="191">
        <v>909</v>
      </c>
      <c r="H83" s="189">
        <f t="shared" si="2"/>
        <v>2487.4</v>
      </c>
      <c r="I83" s="189">
        <v>2400</v>
      </c>
      <c r="J83" s="189">
        <f>Tableau4[[#This Row],[Surcoût moyens de l''équipement ($)]]+Tableau4[[#This Row],[Surcoût moyen de l''installation ($)]]</f>
        <v>4887.3999999999996</v>
      </c>
      <c r="K83" s="189">
        <f>Tableau4[[#This Row],[Surcoût par appareil ($)]]*Tableau4[[#This Row],[Nombres appareils installés]]</f>
        <v>4887.3999999999996</v>
      </c>
      <c r="L83" s="191">
        <v>1700</v>
      </c>
      <c r="M83" s="189">
        <f t="shared" si="3"/>
        <v>1800</v>
      </c>
      <c r="N83" s="189">
        <f>Tableau4[[#This Row],[AF 0 ($)]]/Tableau4[[#This Row],[Nombres appareils installés]]</f>
        <v>1800</v>
      </c>
      <c r="O83" s="192">
        <f>(Tableau4[[#This Row],[AF accordée ($)]])/($J$6*D83)</f>
        <v>0.42463905680171854</v>
      </c>
      <c r="P83" s="192">
        <f>Tableau4[[#This Row],[Couverture 0 (%)]]*Tableau4[[#This Row],[Nombres appareils installés]]</f>
        <v>0.42463905680171854</v>
      </c>
      <c r="Q83" s="189">
        <f>($Q$4+$R$4*(Tableau4[[#This Row],[Capacité (BTU)]]/1000))*Tableau4[[#This Row],[Nombres appareils installés]]</f>
        <v>2900</v>
      </c>
      <c r="R83" s="189">
        <f>Tableau4[[#This Row],[AF 1 ($)]]/Tableau4[[#This Row],[Nombres appareils installés]]</f>
        <v>2900</v>
      </c>
      <c r="S83" s="192">
        <f>Tableau4[[#This Row],[AF 1 ($)]]/(J83*D83)</f>
        <v>0.59336252404141265</v>
      </c>
      <c r="T83" s="192">
        <f>Tableau4[[#This Row],[Couverture 1 (%)]]*Tableau4[[#This Row],[Nombres appareils installés]]</f>
        <v>0.59336252404141265</v>
      </c>
      <c r="U83" s="189">
        <f>($U$4+($V$4*(Tableau4[[#This Row],[Capacité (BTU)]]/1000)))*Tableau4[[#This Row],[Nombres appareils installés]]</f>
        <v>3350</v>
      </c>
      <c r="V83" s="189">
        <f>Tableau4[[#This Row],[AF 2 ($)]]/Tableau4[[#This Row],[Nombres appareils installés]]</f>
        <v>3350</v>
      </c>
      <c r="W83" s="193">
        <f>Tableau4[[#This Row],[AF 2 par appareil ($)]]/Tableau4[[#This Row],[Surcoût par appareil ($)]]</f>
        <v>0.68543601915128705</v>
      </c>
      <c r="X83" s="193">
        <f>Tableau4[[#This Row],[Couverture 2 (%)]]*Tableau4[[#This Row],[Nombres appareils installés]]</f>
        <v>0.68543601915128705</v>
      </c>
      <c r="Y83" s="189">
        <f>($Y$4+$Z$4*(Tableau4[[#This Row],[Capacité (BTU)]]/1000))*Tableau4[[#This Row],[Nombres appareils installés]]</f>
        <v>3400</v>
      </c>
      <c r="Z83" s="189">
        <f>Tableau4[[#This Row],[AF 3 ($)]]/Tableau4[[#This Row],[Nombres appareils installés]]</f>
        <v>3400</v>
      </c>
      <c r="AA83" s="194">
        <f>Tableau4[[#This Row],[AF 3 par appareil ($)]]/Tableau4[[#This Row],[Surcoût par appareil ($)]]</f>
        <v>0.69566640749682862</v>
      </c>
      <c r="AB83" s="194">
        <f>Tableau4[[#This Row],[Couverture 3 (%)]]*Tableau4[[#This Row],[Nombres appareils installés]]</f>
        <v>0.69566640749682862</v>
      </c>
      <c r="AC83" s="189">
        <f>($AC$4+$AD$4*(Tableau4[[#This Row],[Capacité (BTU)]]/1000))*Tableau4[[#This Row],[Nombres appareils installés]]</f>
        <v>2920</v>
      </c>
      <c r="AD83" s="189">
        <f>Tableau4[[#This Row],[AF 4 ($)]]/Tableau4[[#This Row],[Nombres appareils installés]]</f>
        <v>2920</v>
      </c>
      <c r="AE83" s="195">
        <f>Tableau4[[#This Row],[Couverture 4 (%)]]*Tableau4[[#This Row],[Nombres appareils installés]]</f>
        <v>0.59745467937962926</v>
      </c>
      <c r="AF83" s="194">
        <f>Tableau4[[#This Row],[AF 4 par appareil  ($)]]/Tableau4[[#This Row],[Surcoût par appareil ($)]]</f>
        <v>0.59745467937962926</v>
      </c>
    </row>
    <row r="84" spans="2:32" x14ac:dyDescent="0.3">
      <c r="B84" s="196" t="s">
        <v>235</v>
      </c>
      <c r="C84" s="189" t="s">
        <v>259</v>
      </c>
      <c r="D84" s="189">
        <v>1</v>
      </c>
      <c r="E84" s="189">
        <v>180000</v>
      </c>
      <c r="F84" s="197">
        <f>Tableau4[[#This Row],[Economies totales (m3)]]/Tableau4[[#This Row],[Nombres appareils installés]]</f>
        <v>909</v>
      </c>
      <c r="G84" s="191">
        <v>909</v>
      </c>
      <c r="H84" s="189">
        <f t="shared" si="2"/>
        <v>2487.4</v>
      </c>
      <c r="I84" s="189">
        <v>2400</v>
      </c>
      <c r="J84" s="189">
        <f>Tableau4[[#This Row],[Surcoût moyens de l''équipement ($)]]+Tableau4[[#This Row],[Surcoût moyen de l''installation ($)]]</f>
        <v>4887.3999999999996</v>
      </c>
      <c r="K84" s="189">
        <f>Tableau4[[#This Row],[Surcoût par appareil ($)]]*Tableau4[[#This Row],[Nombres appareils installés]]</f>
        <v>4887.3999999999996</v>
      </c>
      <c r="L84" s="191">
        <v>1700</v>
      </c>
      <c r="M84" s="189">
        <f t="shared" si="3"/>
        <v>1800</v>
      </c>
      <c r="N84" s="189">
        <f>Tableau4[[#This Row],[AF 0 ($)]]/Tableau4[[#This Row],[Nombres appareils installés]]</f>
        <v>1800</v>
      </c>
      <c r="O84" s="192">
        <f>(Tableau4[[#This Row],[AF accordée ($)]])/($J$6*D84)</f>
        <v>0.42463905680171854</v>
      </c>
      <c r="P84" s="192">
        <f>Tableau4[[#This Row],[Couverture 0 (%)]]*Tableau4[[#This Row],[Nombres appareils installés]]</f>
        <v>0.42463905680171854</v>
      </c>
      <c r="Q84" s="189">
        <f>($Q$4+$R$4*(Tableau4[[#This Row],[Capacité (BTU)]]/1000))*Tableau4[[#This Row],[Nombres appareils installés]]</f>
        <v>2900</v>
      </c>
      <c r="R84" s="189">
        <f>Tableau4[[#This Row],[AF 1 ($)]]/Tableau4[[#This Row],[Nombres appareils installés]]</f>
        <v>2900</v>
      </c>
      <c r="S84" s="192">
        <f>Tableau4[[#This Row],[AF 1 ($)]]/(J84*D84)</f>
        <v>0.59336252404141265</v>
      </c>
      <c r="T84" s="192">
        <f>Tableau4[[#This Row],[Couverture 1 (%)]]*Tableau4[[#This Row],[Nombres appareils installés]]</f>
        <v>0.59336252404141265</v>
      </c>
      <c r="U84" s="189">
        <f>($U$4+($V$4*(Tableau4[[#This Row],[Capacité (BTU)]]/1000)))*Tableau4[[#This Row],[Nombres appareils installés]]</f>
        <v>3350</v>
      </c>
      <c r="V84" s="189">
        <f>Tableau4[[#This Row],[AF 2 ($)]]/Tableau4[[#This Row],[Nombres appareils installés]]</f>
        <v>3350</v>
      </c>
      <c r="W84" s="193">
        <f>Tableau4[[#This Row],[AF 2 par appareil ($)]]/Tableau4[[#This Row],[Surcoût par appareil ($)]]</f>
        <v>0.68543601915128705</v>
      </c>
      <c r="X84" s="193">
        <f>Tableau4[[#This Row],[Couverture 2 (%)]]*Tableau4[[#This Row],[Nombres appareils installés]]</f>
        <v>0.68543601915128705</v>
      </c>
      <c r="Y84" s="189">
        <f>($Y$4+$Z$4*(Tableau4[[#This Row],[Capacité (BTU)]]/1000))*Tableau4[[#This Row],[Nombres appareils installés]]</f>
        <v>3400</v>
      </c>
      <c r="Z84" s="189">
        <f>Tableau4[[#This Row],[AF 3 ($)]]/Tableau4[[#This Row],[Nombres appareils installés]]</f>
        <v>3400</v>
      </c>
      <c r="AA84" s="194">
        <f>Tableau4[[#This Row],[AF 3 par appareil ($)]]/Tableau4[[#This Row],[Surcoût par appareil ($)]]</f>
        <v>0.69566640749682862</v>
      </c>
      <c r="AB84" s="194">
        <f>Tableau4[[#This Row],[Couverture 3 (%)]]*Tableau4[[#This Row],[Nombres appareils installés]]</f>
        <v>0.69566640749682862</v>
      </c>
      <c r="AC84" s="189">
        <f>($AC$4+$AD$4*(Tableau4[[#This Row],[Capacité (BTU)]]/1000))*Tableau4[[#This Row],[Nombres appareils installés]]</f>
        <v>2920</v>
      </c>
      <c r="AD84" s="189">
        <f>Tableau4[[#This Row],[AF 4 ($)]]/Tableau4[[#This Row],[Nombres appareils installés]]</f>
        <v>2920</v>
      </c>
      <c r="AE84" s="195">
        <f>Tableau4[[#This Row],[Couverture 4 (%)]]*Tableau4[[#This Row],[Nombres appareils installés]]</f>
        <v>0.59745467937962926</v>
      </c>
      <c r="AF84" s="194">
        <f>Tableau4[[#This Row],[AF 4 par appareil  ($)]]/Tableau4[[#This Row],[Surcoût par appareil ($)]]</f>
        <v>0.59745467937962926</v>
      </c>
    </row>
    <row r="85" spans="2:32" x14ac:dyDescent="0.3">
      <c r="B85" s="196" t="s">
        <v>235</v>
      </c>
      <c r="C85" s="189" t="s">
        <v>260</v>
      </c>
      <c r="D85" s="189">
        <v>2</v>
      </c>
      <c r="E85" s="189">
        <v>180000</v>
      </c>
      <c r="F85" s="197">
        <f>Tableau4[[#This Row],[Economies totales (m3)]]/Tableau4[[#This Row],[Nombres appareils installés]]</f>
        <v>909</v>
      </c>
      <c r="G85" s="191">
        <v>1818</v>
      </c>
      <c r="H85" s="189">
        <f t="shared" si="2"/>
        <v>2487.4</v>
      </c>
      <c r="I85" s="189">
        <v>2400</v>
      </c>
      <c r="J85" s="189">
        <f>Tableau4[[#This Row],[Surcoût moyens de l''équipement ($)]]+Tableau4[[#This Row],[Surcoût moyen de l''installation ($)]]</f>
        <v>4887.3999999999996</v>
      </c>
      <c r="K85" s="189">
        <f>Tableau4[[#This Row],[Surcoût par appareil ($)]]*Tableau4[[#This Row],[Nombres appareils installés]]</f>
        <v>9774.7999999999993</v>
      </c>
      <c r="L85" s="191">
        <v>3400</v>
      </c>
      <c r="M85" s="189">
        <f t="shared" si="3"/>
        <v>3600</v>
      </c>
      <c r="N85" s="189">
        <f>Tableau4[[#This Row],[AF 0 ($)]]/Tableau4[[#This Row],[Nombres appareils installés]]</f>
        <v>1800</v>
      </c>
      <c r="O85" s="192">
        <f>(Tableau4[[#This Row],[AF accordée ($)]])/($J$6*D85)</f>
        <v>0.42463905680171854</v>
      </c>
      <c r="P85" s="192">
        <f>Tableau4[[#This Row],[Couverture 0 (%)]]*Tableau4[[#This Row],[Nombres appareils installés]]</f>
        <v>0.84927811360343708</v>
      </c>
      <c r="Q85" s="189">
        <f>($Q$4+$R$4*(Tableau4[[#This Row],[Capacité (BTU)]]/1000))*Tableau4[[#This Row],[Nombres appareils installés]]</f>
        <v>5800</v>
      </c>
      <c r="R85" s="189">
        <f>Tableau4[[#This Row],[AF 1 ($)]]/Tableau4[[#This Row],[Nombres appareils installés]]</f>
        <v>2900</v>
      </c>
      <c r="S85" s="192">
        <f>Tableau4[[#This Row],[AF 1 ($)]]/(J85*D85)</f>
        <v>0.59336252404141265</v>
      </c>
      <c r="T85" s="192">
        <f>Tableau4[[#This Row],[Couverture 1 (%)]]*Tableau4[[#This Row],[Nombres appareils installés]]</f>
        <v>1.1867250480828253</v>
      </c>
      <c r="U85" s="189">
        <f>($U$4+($V$4*(Tableau4[[#This Row],[Capacité (BTU)]]/1000)))*Tableau4[[#This Row],[Nombres appareils installés]]</f>
        <v>6700</v>
      </c>
      <c r="V85" s="189">
        <f>Tableau4[[#This Row],[AF 2 ($)]]/Tableau4[[#This Row],[Nombres appareils installés]]</f>
        <v>3350</v>
      </c>
      <c r="W85" s="193">
        <f>Tableau4[[#This Row],[AF 2 par appareil ($)]]/Tableau4[[#This Row],[Surcoût par appareil ($)]]</f>
        <v>0.68543601915128705</v>
      </c>
      <c r="X85" s="193">
        <f>Tableau4[[#This Row],[Couverture 2 (%)]]*Tableau4[[#This Row],[Nombres appareils installés]]</f>
        <v>1.3708720383025741</v>
      </c>
      <c r="Y85" s="189">
        <f>($Y$4+$Z$4*(Tableau4[[#This Row],[Capacité (BTU)]]/1000))*Tableau4[[#This Row],[Nombres appareils installés]]</f>
        <v>6800</v>
      </c>
      <c r="Z85" s="189">
        <f>Tableau4[[#This Row],[AF 3 ($)]]/Tableau4[[#This Row],[Nombres appareils installés]]</f>
        <v>3400</v>
      </c>
      <c r="AA85" s="194">
        <f>Tableau4[[#This Row],[AF 3 par appareil ($)]]/Tableau4[[#This Row],[Surcoût par appareil ($)]]</f>
        <v>0.69566640749682862</v>
      </c>
      <c r="AB85" s="194">
        <f>Tableau4[[#This Row],[Couverture 3 (%)]]*Tableau4[[#This Row],[Nombres appareils installés]]</f>
        <v>1.3913328149936572</v>
      </c>
      <c r="AC85" s="189">
        <f>($AC$4+$AD$4*(Tableau4[[#This Row],[Capacité (BTU)]]/1000))*Tableau4[[#This Row],[Nombres appareils installés]]</f>
        <v>5840</v>
      </c>
      <c r="AD85" s="189">
        <f>Tableau4[[#This Row],[AF 4 ($)]]/Tableau4[[#This Row],[Nombres appareils installés]]</f>
        <v>2920</v>
      </c>
      <c r="AE85" s="195">
        <f>Tableau4[[#This Row],[Couverture 4 (%)]]*Tableau4[[#This Row],[Nombres appareils installés]]</f>
        <v>1.1949093587592585</v>
      </c>
      <c r="AF85" s="194">
        <f>Tableau4[[#This Row],[AF 4 par appareil  ($)]]/Tableau4[[#This Row],[Surcoût par appareil ($)]]</f>
        <v>0.59745467937962926</v>
      </c>
    </row>
    <row r="86" spans="2:32" x14ac:dyDescent="0.3">
      <c r="B86" s="196" t="s">
        <v>235</v>
      </c>
      <c r="C86" s="189" t="s">
        <v>261</v>
      </c>
      <c r="D86" s="189">
        <v>2</v>
      </c>
      <c r="E86" s="189">
        <v>180000</v>
      </c>
      <c r="F86" s="197">
        <f>Tableau4[[#This Row],[Economies totales (m3)]]/Tableau4[[#This Row],[Nombres appareils installés]]</f>
        <v>909</v>
      </c>
      <c r="G86" s="191">
        <v>1818</v>
      </c>
      <c r="H86" s="189">
        <f t="shared" si="2"/>
        <v>2487.4</v>
      </c>
      <c r="I86" s="189">
        <v>2400</v>
      </c>
      <c r="J86" s="189">
        <f>Tableau4[[#This Row],[Surcoût moyens de l''équipement ($)]]+Tableau4[[#This Row],[Surcoût moyen de l''installation ($)]]</f>
        <v>4887.3999999999996</v>
      </c>
      <c r="K86" s="189">
        <f>Tableau4[[#This Row],[Surcoût par appareil ($)]]*Tableau4[[#This Row],[Nombres appareils installés]]</f>
        <v>9774.7999999999993</v>
      </c>
      <c r="L86" s="191">
        <v>3400</v>
      </c>
      <c r="M86" s="189">
        <f t="shared" si="3"/>
        <v>3600</v>
      </c>
      <c r="N86" s="189">
        <f>Tableau4[[#This Row],[AF 0 ($)]]/Tableau4[[#This Row],[Nombres appareils installés]]</f>
        <v>1800</v>
      </c>
      <c r="O86" s="192">
        <f>(Tableau4[[#This Row],[AF accordée ($)]])/($J$6*D86)</f>
        <v>0.42463905680171854</v>
      </c>
      <c r="P86" s="192">
        <f>Tableau4[[#This Row],[Couverture 0 (%)]]*Tableau4[[#This Row],[Nombres appareils installés]]</f>
        <v>0.84927811360343708</v>
      </c>
      <c r="Q86" s="189">
        <f>($Q$4+$R$4*(Tableau4[[#This Row],[Capacité (BTU)]]/1000))*Tableau4[[#This Row],[Nombres appareils installés]]</f>
        <v>5800</v>
      </c>
      <c r="R86" s="189">
        <f>Tableau4[[#This Row],[AF 1 ($)]]/Tableau4[[#This Row],[Nombres appareils installés]]</f>
        <v>2900</v>
      </c>
      <c r="S86" s="192">
        <f>Tableau4[[#This Row],[AF 1 ($)]]/(J86*D86)</f>
        <v>0.59336252404141265</v>
      </c>
      <c r="T86" s="192">
        <f>Tableau4[[#This Row],[Couverture 1 (%)]]*Tableau4[[#This Row],[Nombres appareils installés]]</f>
        <v>1.1867250480828253</v>
      </c>
      <c r="U86" s="189">
        <f>($U$4+($V$4*(Tableau4[[#This Row],[Capacité (BTU)]]/1000)))*Tableau4[[#This Row],[Nombres appareils installés]]</f>
        <v>6700</v>
      </c>
      <c r="V86" s="189">
        <f>Tableau4[[#This Row],[AF 2 ($)]]/Tableau4[[#This Row],[Nombres appareils installés]]</f>
        <v>3350</v>
      </c>
      <c r="W86" s="193">
        <f>Tableau4[[#This Row],[AF 2 par appareil ($)]]/Tableau4[[#This Row],[Surcoût par appareil ($)]]</f>
        <v>0.68543601915128705</v>
      </c>
      <c r="X86" s="193">
        <f>Tableau4[[#This Row],[Couverture 2 (%)]]*Tableau4[[#This Row],[Nombres appareils installés]]</f>
        <v>1.3708720383025741</v>
      </c>
      <c r="Y86" s="189">
        <f>($Y$4+$Z$4*(Tableau4[[#This Row],[Capacité (BTU)]]/1000))*Tableau4[[#This Row],[Nombres appareils installés]]</f>
        <v>6800</v>
      </c>
      <c r="Z86" s="189">
        <f>Tableau4[[#This Row],[AF 3 ($)]]/Tableau4[[#This Row],[Nombres appareils installés]]</f>
        <v>3400</v>
      </c>
      <c r="AA86" s="194">
        <f>Tableau4[[#This Row],[AF 3 par appareil ($)]]/Tableau4[[#This Row],[Surcoût par appareil ($)]]</f>
        <v>0.69566640749682862</v>
      </c>
      <c r="AB86" s="194">
        <f>Tableau4[[#This Row],[Couverture 3 (%)]]*Tableau4[[#This Row],[Nombres appareils installés]]</f>
        <v>1.3913328149936572</v>
      </c>
      <c r="AC86" s="189">
        <f>($AC$4+$AD$4*(Tableau4[[#This Row],[Capacité (BTU)]]/1000))*Tableau4[[#This Row],[Nombres appareils installés]]</f>
        <v>5840</v>
      </c>
      <c r="AD86" s="189">
        <f>Tableau4[[#This Row],[AF 4 ($)]]/Tableau4[[#This Row],[Nombres appareils installés]]</f>
        <v>2920</v>
      </c>
      <c r="AE86" s="195">
        <f>Tableau4[[#This Row],[Couverture 4 (%)]]*Tableau4[[#This Row],[Nombres appareils installés]]</f>
        <v>1.1949093587592585</v>
      </c>
      <c r="AF86" s="194">
        <f>Tableau4[[#This Row],[AF 4 par appareil  ($)]]/Tableau4[[#This Row],[Surcoût par appareil ($)]]</f>
        <v>0.59745467937962926</v>
      </c>
    </row>
    <row r="87" spans="2:32" x14ac:dyDescent="0.3">
      <c r="B87" s="196" t="s">
        <v>235</v>
      </c>
      <c r="C87" s="189" t="s">
        <v>262</v>
      </c>
      <c r="D87" s="189">
        <v>2</v>
      </c>
      <c r="E87" s="189">
        <v>180000</v>
      </c>
      <c r="F87" s="197">
        <f>Tableau4[[#This Row],[Economies totales (m3)]]/Tableau4[[#This Row],[Nombres appareils installés]]</f>
        <v>909</v>
      </c>
      <c r="G87" s="191">
        <v>1818</v>
      </c>
      <c r="H87" s="189">
        <f t="shared" si="2"/>
        <v>2487.4</v>
      </c>
      <c r="I87" s="189">
        <v>2400</v>
      </c>
      <c r="J87" s="189">
        <f>Tableau4[[#This Row],[Surcoût moyens de l''équipement ($)]]+Tableau4[[#This Row],[Surcoût moyen de l''installation ($)]]</f>
        <v>4887.3999999999996</v>
      </c>
      <c r="K87" s="189">
        <f>Tableau4[[#This Row],[Surcoût par appareil ($)]]*Tableau4[[#This Row],[Nombres appareils installés]]</f>
        <v>9774.7999999999993</v>
      </c>
      <c r="L87" s="191">
        <v>3400</v>
      </c>
      <c r="M87" s="189">
        <f t="shared" si="3"/>
        <v>3600</v>
      </c>
      <c r="N87" s="189">
        <f>Tableau4[[#This Row],[AF 0 ($)]]/Tableau4[[#This Row],[Nombres appareils installés]]</f>
        <v>1800</v>
      </c>
      <c r="O87" s="192">
        <f>(Tableau4[[#This Row],[AF accordée ($)]])/($J$6*D87)</f>
        <v>0.42463905680171854</v>
      </c>
      <c r="P87" s="192">
        <f>Tableau4[[#This Row],[Couverture 0 (%)]]*Tableau4[[#This Row],[Nombres appareils installés]]</f>
        <v>0.84927811360343708</v>
      </c>
      <c r="Q87" s="189">
        <f>($Q$4+$R$4*(Tableau4[[#This Row],[Capacité (BTU)]]/1000))*Tableau4[[#This Row],[Nombres appareils installés]]</f>
        <v>5800</v>
      </c>
      <c r="R87" s="189">
        <f>Tableau4[[#This Row],[AF 1 ($)]]/Tableau4[[#This Row],[Nombres appareils installés]]</f>
        <v>2900</v>
      </c>
      <c r="S87" s="192">
        <f>Tableau4[[#This Row],[AF 1 ($)]]/(J87*D87)</f>
        <v>0.59336252404141265</v>
      </c>
      <c r="T87" s="192">
        <f>Tableau4[[#This Row],[Couverture 1 (%)]]*Tableau4[[#This Row],[Nombres appareils installés]]</f>
        <v>1.1867250480828253</v>
      </c>
      <c r="U87" s="189">
        <f>($U$4+($V$4*(Tableau4[[#This Row],[Capacité (BTU)]]/1000)))*Tableau4[[#This Row],[Nombres appareils installés]]</f>
        <v>6700</v>
      </c>
      <c r="V87" s="189">
        <f>Tableau4[[#This Row],[AF 2 ($)]]/Tableau4[[#This Row],[Nombres appareils installés]]</f>
        <v>3350</v>
      </c>
      <c r="W87" s="193">
        <f>Tableau4[[#This Row],[AF 2 par appareil ($)]]/Tableau4[[#This Row],[Surcoût par appareil ($)]]</f>
        <v>0.68543601915128705</v>
      </c>
      <c r="X87" s="193">
        <f>Tableau4[[#This Row],[Couverture 2 (%)]]*Tableau4[[#This Row],[Nombres appareils installés]]</f>
        <v>1.3708720383025741</v>
      </c>
      <c r="Y87" s="189">
        <f>($Y$4+$Z$4*(Tableau4[[#This Row],[Capacité (BTU)]]/1000))*Tableau4[[#This Row],[Nombres appareils installés]]</f>
        <v>6800</v>
      </c>
      <c r="Z87" s="189">
        <f>Tableau4[[#This Row],[AF 3 ($)]]/Tableau4[[#This Row],[Nombres appareils installés]]</f>
        <v>3400</v>
      </c>
      <c r="AA87" s="194">
        <f>Tableau4[[#This Row],[AF 3 par appareil ($)]]/Tableau4[[#This Row],[Surcoût par appareil ($)]]</f>
        <v>0.69566640749682862</v>
      </c>
      <c r="AB87" s="194">
        <f>Tableau4[[#This Row],[Couverture 3 (%)]]*Tableau4[[#This Row],[Nombres appareils installés]]</f>
        <v>1.3913328149936572</v>
      </c>
      <c r="AC87" s="189">
        <f>($AC$4+$AD$4*(Tableau4[[#This Row],[Capacité (BTU)]]/1000))*Tableau4[[#This Row],[Nombres appareils installés]]</f>
        <v>5840</v>
      </c>
      <c r="AD87" s="189">
        <f>Tableau4[[#This Row],[AF 4 ($)]]/Tableau4[[#This Row],[Nombres appareils installés]]</f>
        <v>2920</v>
      </c>
      <c r="AE87" s="195">
        <f>Tableau4[[#This Row],[Couverture 4 (%)]]*Tableau4[[#This Row],[Nombres appareils installés]]</f>
        <v>1.1949093587592585</v>
      </c>
      <c r="AF87" s="194">
        <f>Tableau4[[#This Row],[AF 4 par appareil  ($)]]/Tableau4[[#This Row],[Surcoût par appareil ($)]]</f>
        <v>0.59745467937962926</v>
      </c>
    </row>
    <row r="88" spans="2:32" x14ac:dyDescent="0.3">
      <c r="B88" s="196" t="s">
        <v>235</v>
      </c>
      <c r="C88" s="189" t="s">
        <v>248</v>
      </c>
      <c r="D88" s="189">
        <v>2</v>
      </c>
      <c r="E88" s="189">
        <v>180000</v>
      </c>
      <c r="F88" s="197">
        <f>Tableau4[[#This Row],[Economies totales (m3)]]/Tableau4[[#This Row],[Nombres appareils installés]]</f>
        <v>909</v>
      </c>
      <c r="G88" s="191">
        <v>1818</v>
      </c>
      <c r="H88" s="189">
        <f t="shared" si="2"/>
        <v>2487.4</v>
      </c>
      <c r="I88" s="189">
        <v>2400</v>
      </c>
      <c r="J88" s="189">
        <f>Tableau4[[#This Row],[Surcoût moyens de l''équipement ($)]]+Tableau4[[#This Row],[Surcoût moyen de l''installation ($)]]</f>
        <v>4887.3999999999996</v>
      </c>
      <c r="K88" s="189">
        <f>Tableau4[[#This Row],[Surcoût par appareil ($)]]*Tableau4[[#This Row],[Nombres appareils installés]]</f>
        <v>9774.7999999999993</v>
      </c>
      <c r="L88" s="191">
        <v>3400</v>
      </c>
      <c r="M88" s="189">
        <f t="shared" si="3"/>
        <v>3600</v>
      </c>
      <c r="N88" s="189">
        <f>Tableau4[[#This Row],[AF 0 ($)]]/Tableau4[[#This Row],[Nombres appareils installés]]</f>
        <v>1800</v>
      </c>
      <c r="O88" s="192">
        <f>(Tableau4[[#This Row],[AF accordée ($)]])/($J$6*D88)</f>
        <v>0.42463905680171854</v>
      </c>
      <c r="P88" s="192">
        <f>Tableau4[[#This Row],[Couverture 0 (%)]]*Tableau4[[#This Row],[Nombres appareils installés]]</f>
        <v>0.84927811360343708</v>
      </c>
      <c r="Q88" s="189">
        <f>($Q$4+$R$4*(Tableau4[[#This Row],[Capacité (BTU)]]/1000))*Tableau4[[#This Row],[Nombres appareils installés]]</f>
        <v>5800</v>
      </c>
      <c r="R88" s="189">
        <f>Tableau4[[#This Row],[AF 1 ($)]]/Tableau4[[#This Row],[Nombres appareils installés]]</f>
        <v>2900</v>
      </c>
      <c r="S88" s="192">
        <f>Tableau4[[#This Row],[AF 1 ($)]]/(J88*D88)</f>
        <v>0.59336252404141265</v>
      </c>
      <c r="T88" s="192">
        <f>Tableau4[[#This Row],[Couverture 1 (%)]]*Tableau4[[#This Row],[Nombres appareils installés]]</f>
        <v>1.1867250480828253</v>
      </c>
      <c r="U88" s="189">
        <f>($U$4+($V$4*(Tableau4[[#This Row],[Capacité (BTU)]]/1000)))*Tableau4[[#This Row],[Nombres appareils installés]]</f>
        <v>6700</v>
      </c>
      <c r="V88" s="189">
        <f>Tableau4[[#This Row],[AF 2 ($)]]/Tableau4[[#This Row],[Nombres appareils installés]]</f>
        <v>3350</v>
      </c>
      <c r="W88" s="193">
        <f>Tableau4[[#This Row],[AF 2 par appareil ($)]]/Tableau4[[#This Row],[Surcoût par appareil ($)]]</f>
        <v>0.68543601915128705</v>
      </c>
      <c r="X88" s="193">
        <f>Tableau4[[#This Row],[Couverture 2 (%)]]*Tableau4[[#This Row],[Nombres appareils installés]]</f>
        <v>1.3708720383025741</v>
      </c>
      <c r="Y88" s="189">
        <f>($Y$4+$Z$4*(Tableau4[[#This Row],[Capacité (BTU)]]/1000))*Tableau4[[#This Row],[Nombres appareils installés]]</f>
        <v>6800</v>
      </c>
      <c r="Z88" s="189">
        <f>Tableau4[[#This Row],[AF 3 ($)]]/Tableau4[[#This Row],[Nombres appareils installés]]</f>
        <v>3400</v>
      </c>
      <c r="AA88" s="194">
        <f>Tableau4[[#This Row],[AF 3 par appareil ($)]]/Tableau4[[#This Row],[Surcoût par appareil ($)]]</f>
        <v>0.69566640749682862</v>
      </c>
      <c r="AB88" s="194">
        <f>Tableau4[[#This Row],[Couverture 3 (%)]]*Tableau4[[#This Row],[Nombres appareils installés]]</f>
        <v>1.3913328149936572</v>
      </c>
      <c r="AC88" s="189">
        <f>($AC$4+$AD$4*(Tableau4[[#This Row],[Capacité (BTU)]]/1000))*Tableau4[[#This Row],[Nombres appareils installés]]</f>
        <v>5840</v>
      </c>
      <c r="AD88" s="189">
        <f>Tableau4[[#This Row],[AF 4 ($)]]/Tableau4[[#This Row],[Nombres appareils installés]]</f>
        <v>2920</v>
      </c>
      <c r="AE88" s="195">
        <f>Tableau4[[#This Row],[Couverture 4 (%)]]*Tableau4[[#This Row],[Nombres appareils installés]]</f>
        <v>1.1949093587592585</v>
      </c>
      <c r="AF88" s="194">
        <f>Tableau4[[#This Row],[AF 4 par appareil  ($)]]/Tableau4[[#This Row],[Surcoût par appareil ($)]]</f>
        <v>0.59745467937962926</v>
      </c>
    </row>
    <row r="89" spans="2:32" x14ac:dyDescent="0.3">
      <c r="B89" s="196" t="s">
        <v>235</v>
      </c>
      <c r="C89" s="189" t="s">
        <v>250</v>
      </c>
      <c r="D89" s="189">
        <v>2</v>
      </c>
      <c r="E89" s="189">
        <v>180000</v>
      </c>
      <c r="F89" s="197">
        <f>Tableau4[[#This Row],[Economies totales (m3)]]/Tableau4[[#This Row],[Nombres appareils installés]]</f>
        <v>909</v>
      </c>
      <c r="G89" s="191">
        <v>1818</v>
      </c>
      <c r="H89" s="189">
        <f t="shared" si="2"/>
        <v>2487.4</v>
      </c>
      <c r="I89" s="189">
        <v>2400</v>
      </c>
      <c r="J89" s="189">
        <f>Tableau4[[#This Row],[Surcoût moyens de l''équipement ($)]]+Tableau4[[#This Row],[Surcoût moyen de l''installation ($)]]</f>
        <v>4887.3999999999996</v>
      </c>
      <c r="K89" s="189">
        <f>Tableau4[[#This Row],[Surcoût par appareil ($)]]*Tableau4[[#This Row],[Nombres appareils installés]]</f>
        <v>9774.7999999999993</v>
      </c>
      <c r="L89" s="191">
        <v>3400</v>
      </c>
      <c r="M89" s="189">
        <f t="shared" si="3"/>
        <v>3600</v>
      </c>
      <c r="N89" s="189">
        <f>Tableau4[[#This Row],[AF 0 ($)]]/Tableau4[[#This Row],[Nombres appareils installés]]</f>
        <v>1800</v>
      </c>
      <c r="O89" s="192">
        <f>(Tableau4[[#This Row],[AF accordée ($)]])/($J$6*D89)</f>
        <v>0.42463905680171854</v>
      </c>
      <c r="P89" s="192">
        <f>Tableau4[[#This Row],[Couverture 0 (%)]]*Tableau4[[#This Row],[Nombres appareils installés]]</f>
        <v>0.84927811360343708</v>
      </c>
      <c r="Q89" s="189">
        <f>($Q$4+$R$4*(Tableau4[[#This Row],[Capacité (BTU)]]/1000))*Tableau4[[#This Row],[Nombres appareils installés]]</f>
        <v>5800</v>
      </c>
      <c r="R89" s="189">
        <f>Tableau4[[#This Row],[AF 1 ($)]]/Tableau4[[#This Row],[Nombres appareils installés]]</f>
        <v>2900</v>
      </c>
      <c r="S89" s="192">
        <f>Tableau4[[#This Row],[AF 1 ($)]]/(J89*D89)</f>
        <v>0.59336252404141265</v>
      </c>
      <c r="T89" s="192">
        <f>Tableau4[[#This Row],[Couverture 1 (%)]]*Tableau4[[#This Row],[Nombres appareils installés]]</f>
        <v>1.1867250480828253</v>
      </c>
      <c r="U89" s="189">
        <f>($U$4+($V$4*(Tableau4[[#This Row],[Capacité (BTU)]]/1000)))*Tableau4[[#This Row],[Nombres appareils installés]]</f>
        <v>6700</v>
      </c>
      <c r="V89" s="189">
        <f>Tableau4[[#This Row],[AF 2 ($)]]/Tableau4[[#This Row],[Nombres appareils installés]]</f>
        <v>3350</v>
      </c>
      <c r="W89" s="193">
        <f>Tableau4[[#This Row],[AF 2 par appareil ($)]]/Tableau4[[#This Row],[Surcoût par appareil ($)]]</f>
        <v>0.68543601915128705</v>
      </c>
      <c r="X89" s="193">
        <f>Tableau4[[#This Row],[Couverture 2 (%)]]*Tableau4[[#This Row],[Nombres appareils installés]]</f>
        <v>1.3708720383025741</v>
      </c>
      <c r="Y89" s="189">
        <f>($Y$4+$Z$4*(Tableau4[[#This Row],[Capacité (BTU)]]/1000))*Tableau4[[#This Row],[Nombres appareils installés]]</f>
        <v>6800</v>
      </c>
      <c r="Z89" s="189">
        <f>Tableau4[[#This Row],[AF 3 ($)]]/Tableau4[[#This Row],[Nombres appareils installés]]</f>
        <v>3400</v>
      </c>
      <c r="AA89" s="194">
        <f>Tableau4[[#This Row],[AF 3 par appareil ($)]]/Tableau4[[#This Row],[Surcoût par appareil ($)]]</f>
        <v>0.69566640749682862</v>
      </c>
      <c r="AB89" s="194">
        <f>Tableau4[[#This Row],[Couverture 3 (%)]]*Tableau4[[#This Row],[Nombres appareils installés]]</f>
        <v>1.3913328149936572</v>
      </c>
      <c r="AC89" s="189">
        <f>($AC$4+$AD$4*(Tableau4[[#This Row],[Capacité (BTU)]]/1000))*Tableau4[[#This Row],[Nombres appareils installés]]</f>
        <v>5840</v>
      </c>
      <c r="AD89" s="189">
        <f>Tableau4[[#This Row],[AF 4 ($)]]/Tableau4[[#This Row],[Nombres appareils installés]]</f>
        <v>2920</v>
      </c>
      <c r="AE89" s="195">
        <f>Tableau4[[#This Row],[Couverture 4 (%)]]*Tableau4[[#This Row],[Nombres appareils installés]]</f>
        <v>1.1949093587592585</v>
      </c>
      <c r="AF89" s="194">
        <f>Tableau4[[#This Row],[AF 4 par appareil  ($)]]/Tableau4[[#This Row],[Surcoût par appareil ($)]]</f>
        <v>0.59745467937962926</v>
      </c>
    </row>
    <row r="90" spans="2:32" x14ac:dyDescent="0.3">
      <c r="B90" s="196" t="s">
        <v>235</v>
      </c>
      <c r="C90" s="189" t="s">
        <v>263</v>
      </c>
      <c r="D90" s="189">
        <v>2</v>
      </c>
      <c r="E90" s="189">
        <v>180000</v>
      </c>
      <c r="F90" s="197">
        <f>Tableau4[[#This Row],[Economies totales (m3)]]/Tableau4[[#This Row],[Nombres appareils installés]]</f>
        <v>909</v>
      </c>
      <c r="G90" s="191">
        <v>1818</v>
      </c>
      <c r="H90" s="189">
        <f t="shared" si="2"/>
        <v>2487.4</v>
      </c>
      <c r="I90" s="189">
        <v>2400</v>
      </c>
      <c r="J90" s="189">
        <f>Tableau4[[#This Row],[Surcoût moyens de l''équipement ($)]]+Tableau4[[#This Row],[Surcoût moyen de l''installation ($)]]</f>
        <v>4887.3999999999996</v>
      </c>
      <c r="K90" s="189">
        <f>Tableau4[[#This Row],[Surcoût par appareil ($)]]*Tableau4[[#This Row],[Nombres appareils installés]]</f>
        <v>9774.7999999999993</v>
      </c>
      <c r="L90" s="191">
        <v>3400</v>
      </c>
      <c r="M90" s="189">
        <f t="shared" si="3"/>
        <v>3600</v>
      </c>
      <c r="N90" s="189">
        <f>Tableau4[[#This Row],[AF 0 ($)]]/Tableau4[[#This Row],[Nombres appareils installés]]</f>
        <v>1800</v>
      </c>
      <c r="O90" s="192">
        <f>(Tableau4[[#This Row],[AF accordée ($)]])/($J$6*D90)</f>
        <v>0.42463905680171854</v>
      </c>
      <c r="P90" s="192">
        <f>Tableau4[[#This Row],[Couverture 0 (%)]]*Tableau4[[#This Row],[Nombres appareils installés]]</f>
        <v>0.84927811360343708</v>
      </c>
      <c r="Q90" s="189">
        <f>($Q$4+$R$4*(Tableau4[[#This Row],[Capacité (BTU)]]/1000))*Tableau4[[#This Row],[Nombres appareils installés]]</f>
        <v>5800</v>
      </c>
      <c r="R90" s="189">
        <f>Tableau4[[#This Row],[AF 1 ($)]]/Tableau4[[#This Row],[Nombres appareils installés]]</f>
        <v>2900</v>
      </c>
      <c r="S90" s="192">
        <f>Tableau4[[#This Row],[AF 1 ($)]]/(J90*D90)</f>
        <v>0.59336252404141265</v>
      </c>
      <c r="T90" s="192">
        <f>Tableau4[[#This Row],[Couverture 1 (%)]]*Tableau4[[#This Row],[Nombres appareils installés]]</f>
        <v>1.1867250480828253</v>
      </c>
      <c r="U90" s="189">
        <f>($U$4+($V$4*(Tableau4[[#This Row],[Capacité (BTU)]]/1000)))*Tableau4[[#This Row],[Nombres appareils installés]]</f>
        <v>6700</v>
      </c>
      <c r="V90" s="189">
        <f>Tableau4[[#This Row],[AF 2 ($)]]/Tableau4[[#This Row],[Nombres appareils installés]]</f>
        <v>3350</v>
      </c>
      <c r="W90" s="193">
        <f>Tableau4[[#This Row],[AF 2 par appareil ($)]]/Tableau4[[#This Row],[Surcoût par appareil ($)]]</f>
        <v>0.68543601915128705</v>
      </c>
      <c r="X90" s="193">
        <f>Tableau4[[#This Row],[Couverture 2 (%)]]*Tableau4[[#This Row],[Nombres appareils installés]]</f>
        <v>1.3708720383025741</v>
      </c>
      <c r="Y90" s="189">
        <f>($Y$4+$Z$4*(Tableau4[[#This Row],[Capacité (BTU)]]/1000))*Tableau4[[#This Row],[Nombres appareils installés]]</f>
        <v>6800</v>
      </c>
      <c r="Z90" s="189">
        <f>Tableau4[[#This Row],[AF 3 ($)]]/Tableau4[[#This Row],[Nombres appareils installés]]</f>
        <v>3400</v>
      </c>
      <c r="AA90" s="194">
        <f>Tableau4[[#This Row],[AF 3 par appareil ($)]]/Tableau4[[#This Row],[Surcoût par appareil ($)]]</f>
        <v>0.69566640749682862</v>
      </c>
      <c r="AB90" s="194">
        <f>Tableau4[[#This Row],[Couverture 3 (%)]]*Tableau4[[#This Row],[Nombres appareils installés]]</f>
        <v>1.3913328149936572</v>
      </c>
      <c r="AC90" s="189">
        <f>($AC$4+$AD$4*(Tableau4[[#This Row],[Capacité (BTU)]]/1000))*Tableau4[[#This Row],[Nombres appareils installés]]</f>
        <v>5840</v>
      </c>
      <c r="AD90" s="189">
        <f>Tableau4[[#This Row],[AF 4 ($)]]/Tableau4[[#This Row],[Nombres appareils installés]]</f>
        <v>2920</v>
      </c>
      <c r="AE90" s="195">
        <f>Tableau4[[#This Row],[Couverture 4 (%)]]*Tableau4[[#This Row],[Nombres appareils installés]]</f>
        <v>1.1949093587592585</v>
      </c>
      <c r="AF90" s="194">
        <f>Tableau4[[#This Row],[AF 4 par appareil  ($)]]/Tableau4[[#This Row],[Surcoût par appareil ($)]]</f>
        <v>0.59745467937962926</v>
      </c>
    </row>
    <row r="91" spans="2:32" x14ac:dyDescent="0.3">
      <c r="B91" s="196" t="s">
        <v>235</v>
      </c>
      <c r="C91" s="189" t="s">
        <v>264</v>
      </c>
      <c r="D91" s="189">
        <v>6</v>
      </c>
      <c r="E91" s="189">
        <v>180000</v>
      </c>
      <c r="F91" s="197">
        <f>Tableau4[[#This Row],[Economies totales (m3)]]/Tableau4[[#This Row],[Nombres appareils installés]]</f>
        <v>909</v>
      </c>
      <c r="G91" s="191">
        <v>5454</v>
      </c>
      <c r="H91" s="189">
        <f t="shared" si="2"/>
        <v>2487.4</v>
      </c>
      <c r="I91" s="189">
        <v>2400</v>
      </c>
      <c r="J91" s="189">
        <f>Tableau4[[#This Row],[Surcoût moyens de l''équipement ($)]]+Tableau4[[#This Row],[Surcoût moyen de l''installation ($)]]</f>
        <v>4887.3999999999996</v>
      </c>
      <c r="K91" s="189">
        <f>Tableau4[[#This Row],[Surcoût par appareil ($)]]*Tableau4[[#This Row],[Nombres appareils installés]]</f>
        <v>29324.399999999998</v>
      </c>
      <c r="L91" s="191">
        <v>10200</v>
      </c>
      <c r="M91" s="189">
        <f t="shared" si="3"/>
        <v>10800</v>
      </c>
      <c r="N91" s="189">
        <f>Tableau4[[#This Row],[AF 0 ($)]]/Tableau4[[#This Row],[Nombres appareils installés]]</f>
        <v>1800</v>
      </c>
      <c r="O91" s="192">
        <f>(Tableau4[[#This Row],[AF accordée ($)]])/($J$6*D91)</f>
        <v>0.42463905680171854</v>
      </c>
      <c r="P91" s="192">
        <f>Tableau4[[#This Row],[Couverture 0 (%)]]*Tableau4[[#This Row],[Nombres appareils installés]]</f>
        <v>2.5478343408103115</v>
      </c>
      <c r="Q91" s="189">
        <f>($Q$4+$R$4*(Tableau4[[#This Row],[Capacité (BTU)]]/1000))*Tableau4[[#This Row],[Nombres appareils installés]]</f>
        <v>17400</v>
      </c>
      <c r="R91" s="189">
        <f>Tableau4[[#This Row],[AF 1 ($)]]/Tableau4[[#This Row],[Nombres appareils installés]]</f>
        <v>2900</v>
      </c>
      <c r="S91" s="192">
        <f>Tableau4[[#This Row],[AF 1 ($)]]/(J91*D91)</f>
        <v>0.59336252404141265</v>
      </c>
      <c r="T91" s="192">
        <f>Tableau4[[#This Row],[Couverture 1 (%)]]*Tableau4[[#This Row],[Nombres appareils installés]]</f>
        <v>3.5601751442484759</v>
      </c>
      <c r="U91" s="189">
        <f>($U$4+$V$4*(Tableau4[[#This Row],[Capacité (BTU)]]/1000))*Tableau4[[#This Row],[Nombres appareils installés]]</f>
        <v>20100</v>
      </c>
      <c r="V91" s="189">
        <f>Tableau4[[#This Row],[AF 2 ($)]]/Tableau4[[#This Row],[Nombres appareils installés]]</f>
        <v>3350</v>
      </c>
      <c r="W91" s="192">
        <f>Tableau4[[#This Row],[AF 2 par appareil ($)]]/Tableau4[[#This Row],[Surcoût par appareil ($)]]</f>
        <v>0.68543601915128705</v>
      </c>
      <c r="X91" s="192">
        <f>Tableau4[[#This Row],[Couverture 2 (%)]]*Tableau4[[#This Row],[Nombres appareils installés]]</f>
        <v>4.1126161149077225</v>
      </c>
      <c r="Y91" s="189">
        <f>($Y$4+$Z$4*(Tableau4[[#This Row],[Capacité (BTU)]]/1000))*Tableau4[[#This Row],[Nombres appareils installés]]</f>
        <v>20400</v>
      </c>
      <c r="Z91" s="189">
        <f>Tableau4[[#This Row],[AF 3 ($)]]/Tableau4[[#This Row],[Nombres appareils installés]]</f>
        <v>3400</v>
      </c>
      <c r="AA91" s="194">
        <f>Tableau4[[#This Row],[AF 3 par appareil ($)]]/Tableau4[[#This Row],[Surcoût par appareil ($)]]</f>
        <v>0.69566640749682862</v>
      </c>
      <c r="AB91" s="194">
        <f>Tableau4[[#This Row],[Couverture 3 (%)]]*Tableau4[[#This Row],[Nombres appareils installés]]</f>
        <v>4.1739984449809722</v>
      </c>
      <c r="AC91" s="189">
        <f>($AC$4+$AD$4*(Tableau4[[#This Row],[Capacité (BTU)]]/1000))*Tableau4[[#This Row],[Nombres appareils installés]]</f>
        <v>17520</v>
      </c>
      <c r="AD91" s="189">
        <f>Tableau4[[#This Row],[AF 4 ($)]]/Tableau4[[#This Row],[Nombres appareils installés]]</f>
        <v>2920</v>
      </c>
      <c r="AE91" s="194">
        <f>Tableau4[[#This Row],[Couverture 4 (%)]]*Tableau4[[#This Row],[Nombres appareils installés]]</f>
        <v>3.5847280762777753</v>
      </c>
      <c r="AF91" s="194">
        <f>Tableau4[[#This Row],[AF 4 par appareil  ($)]]/Tableau4[[#This Row],[Surcoût par appareil ($)]]</f>
        <v>0.59745467937962926</v>
      </c>
    </row>
    <row r="92" spans="2:32" x14ac:dyDescent="0.3">
      <c r="B92" s="196" t="s">
        <v>235</v>
      </c>
      <c r="C92" s="189" t="s">
        <v>216</v>
      </c>
      <c r="D92" s="189">
        <v>1</v>
      </c>
      <c r="E92" s="189">
        <v>200000</v>
      </c>
      <c r="F92" s="197">
        <f>Tableau4[[#This Row],[Economies totales (m3)]]/Tableau4[[#This Row],[Nombres appareils installés]]</f>
        <v>1010</v>
      </c>
      <c r="G92" s="191">
        <v>1010</v>
      </c>
      <c r="H92" s="189">
        <f t="shared" si="2"/>
        <v>2713.4</v>
      </c>
      <c r="I92" s="189">
        <v>2400</v>
      </c>
      <c r="J92" s="189">
        <f>Tableau4[[#This Row],[Surcoût moyens de l''équipement ($)]]+Tableau4[[#This Row],[Surcoût moyen de l''installation ($)]]</f>
        <v>5113.3999999999996</v>
      </c>
      <c r="K92" s="189">
        <f>Tableau4[[#This Row],[Surcoût par appareil ($)]]*Tableau4[[#This Row],[Nombres appareils installés]]</f>
        <v>5113.3999999999996</v>
      </c>
      <c r="L92" s="191">
        <v>1700</v>
      </c>
      <c r="M92" s="189">
        <f t="shared" si="3"/>
        <v>1900</v>
      </c>
      <c r="N92" s="189">
        <f>Tableau4[[#This Row],[AF 0 ($)]]/Tableau4[[#This Row],[Nombres appareils installés]]</f>
        <v>1900</v>
      </c>
      <c r="O92" s="192">
        <f>(Tableau4[[#This Row],[AF accordée ($)]])/($J$6*D92)</f>
        <v>0.42463905680171854</v>
      </c>
      <c r="P92" s="192">
        <f>Tableau4[[#This Row],[Couverture 0 (%)]]*Tableau4[[#This Row],[Nombres appareils installés]]</f>
        <v>0.42463905680171854</v>
      </c>
      <c r="Q92" s="189">
        <f>($Q$4+$R$4*(Tableau4[[#This Row],[Capacité (BTU)]]/1000))*Tableau4[[#This Row],[Nombres appareils installés]]</f>
        <v>3000</v>
      </c>
      <c r="R92" s="189">
        <f>Tableau4[[#This Row],[AF 1 ($)]]/Tableau4[[#This Row],[Nombres appareils installés]]</f>
        <v>3000</v>
      </c>
      <c r="S92" s="192">
        <f>Tableau4[[#This Row],[AF 1 ($)]]/(J92*D92)</f>
        <v>0.58669378495717139</v>
      </c>
      <c r="T92" s="192">
        <f>Tableau4[[#This Row],[Couverture 1 (%)]]*Tableau4[[#This Row],[Nombres appareils installés]]</f>
        <v>0.58669378495717139</v>
      </c>
      <c r="U92" s="189">
        <f>($U$4+($V$4*(Tableau4[[#This Row],[Capacité (BTU)]]/1000)))*Tableau4[[#This Row],[Nombres appareils installés]]</f>
        <v>3500</v>
      </c>
      <c r="V92" s="189">
        <f>Tableau4[[#This Row],[AF 2 ($)]]/Tableau4[[#This Row],[Nombres appareils installés]]</f>
        <v>3500</v>
      </c>
      <c r="W92" s="193">
        <f>Tableau4[[#This Row],[AF 2 par appareil ($)]]/Tableau4[[#This Row],[Surcoût par appareil ($)]]</f>
        <v>0.68447608245003333</v>
      </c>
      <c r="X92" s="193">
        <f>Tableau4[[#This Row],[Couverture 2 (%)]]*Tableau4[[#This Row],[Nombres appareils installés]]</f>
        <v>0.68447608245003333</v>
      </c>
      <c r="Y92" s="189">
        <f>($Y$4+$Z$4*(Tableau4[[#This Row],[Capacité (BTU)]]/1000))*Tableau4[[#This Row],[Nombres appareils installés]]</f>
        <v>3500</v>
      </c>
      <c r="Z92" s="189">
        <f>Tableau4[[#This Row],[AF 3 ($)]]/Tableau4[[#This Row],[Nombres appareils installés]]</f>
        <v>3500</v>
      </c>
      <c r="AA92" s="194">
        <f>Tableau4[[#This Row],[AF 3 par appareil ($)]]/Tableau4[[#This Row],[Surcoût par appareil ($)]]</f>
        <v>0.68447608245003333</v>
      </c>
      <c r="AB92" s="194">
        <f>Tableau4[[#This Row],[Couverture 3 (%)]]*Tableau4[[#This Row],[Nombres appareils installés]]</f>
        <v>0.68447608245003333</v>
      </c>
      <c r="AC92" s="189">
        <f>($AC$4+$AD$4*(Tableau4[[#This Row],[Capacité (BTU)]]/1000))*Tableau4[[#This Row],[Nombres appareils installés]]</f>
        <v>3000</v>
      </c>
      <c r="AD92" s="189">
        <f>Tableau4[[#This Row],[AF 4 ($)]]/Tableau4[[#This Row],[Nombres appareils installés]]</f>
        <v>3000</v>
      </c>
      <c r="AE92" s="195">
        <f>Tableau4[[#This Row],[Couverture 4 (%)]]*Tableau4[[#This Row],[Nombres appareils installés]]</f>
        <v>0.58669378495717139</v>
      </c>
      <c r="AF92" s="194">
        <f>Tableau4[[#This Row],[AF 4 par appareil  ($)]]/Tableau4[[#This Row],[Surcoût par appareil ($)]]</f>
        <v>0.58669378495717139</v>
      </c>
    </row>
    <row r="93" spans="2:32" x14ac:dyDescent="0.3">
      <c r="B93" s="196" t="s">
        <v>235</v>
      </c>
      <c r="C93" s="189" t="s">
        <v>265</v>
      </c>
      <c r="D93" s="189">
        <v>2</v>
      </c>
      <c r="E93" s="189">
        <v>200000</v>
      </c>
      <c r="F93" s="197">
        <f>Tableau4[[#This Row],[Economies totales (m3)]]/Tableau4[[#This Row],[Nombres appareils installés]]</f>
        <v>1010</v>
      </c>
      <c r="G93" s="191">
        <v>2020</v>
      </c>
      <c r="H93" s="189">
        <f t="shared" si="2"/>
        <v>2713.4</v>
      </c>
      <c r="I93" s="189">
        <v>2400</v>
      </c>
      <c r="J93" s="189">
        <f>Tableau4[[#This Row],[Surcoût moyens de l''équipement ($)]]+Tableau4[[#This Row],[Surcoût moyen de l''installation ($)]]</f>
        <v>5113.3999999999996</v>
      </c>
      <c r="K93" s="189">
        <f>Tableau4[[#This Row],[Surcoût par appareil ($)]]*Tableau4[[#This Row],[Nombres appareils installés]]</f>
        <v>10226.799999999999</v>
      </c>
      <c r="L93" s="191">
        <v>3400</v>
      </c>
      <c r="M93" s="189">
        <f t="shared" si="3"/>
        <v>3800</v>
      </c>
      <c r="N93" s="189">
        <f>Tableau4[[#This Row],[AF 0 ($)]]/Tableau4[[#This Row],[Nombres appareils installés]]</f>
        <v>1900</v>
      </c>
      <c r="O93" s="192">
        <f>(Tableau4[[#This Row],[AF accordée ($)]])/($J$6*D93)</f>
        <v>0.42463905680171854</v>
      </c>
      <c r="P93" s="192">
        <f>Tableau4[[#This Row],[Couverture 0 (%)]]*Tableau4[[#This Row],[Nombres appareils installés]]</f>
        <v>0.84927811360343708</v>
      </c>
      <c r="Q93" s="189">
        <f>($Q$4+$R$4*(Tableau4[[#This Row],[Capacité (BTU)]]/1000))*Tableau4[[#This Row],[Nombres appareils installés]]</f>
        <v>6000</v>
      </c>
      <c r="R93" s="189">
        <f>Tableau4[[#This Row],[AF 1 ($)]]/Tableau4[[#This Row],[Nombres appareils installés]]</f>
        <v>3000</v>
      </c>
      <c r="S93" s="192">
        <f>Tableau4[[#This Row],[AF 1 ($)]]/(J93*D93)</f>
        <v>0.58669378495717139</v>
      </c>
      <c r="T93" s="192">
        <f>Tableau4[[#This Row],[Couverture 1 (%)]]*Tableau4[[#This Row],[Nombres appareils installés]]</f>
        <v>1.1733875699143428</v>
      </c>
      <c r="U93" s="189">
        <f>($U$4+($V$4*(Tableau4[[#This Row],[Capacité (BTU)]]/1000)))*Tableau4[[#This Row],[Nombres appareils installés]]</f>
        <v>7000</v>
      </c>
      <c r="V93" s="189">
        <f>Tableau4[[#This Row],[AF 2 ($)]]/Tableau4[[#This Row],[Nombres appareils installés]]</f>
        <v>3500</v>
      </c>
      <c r="W93" s="193">
        <f>Tableau4[[#This Row],[AF 2 par appareil ($)]]/Tableau4[[#This Row],[Surcoût par appareil ($)]]</f>
        <v>0.68447608245003333</v>
      </c>
      <c r="X93" s="193">
        <f>Tableau4[[#This Row],[Couverture 2 (%)]]*Tableau4[[#This Row],[Nombres appareils installés]]</f>
        <v>1.3689521649000667</v>
      </c>
      <c r="Y93" s="189">
        <f>($Y$4+$Z$4*(Tableau4[[#This Row],[Capacité (BTU)]]/1000))*Tableau4[[#This Row],[Nombres appareils installés]]</f>
        <v>7000</v>
      </c>
      <c r="Z93" s="189">
        <f>Tableau4[[#This Row],[AF 3 ($)]]/Tableau4[[#This Row],[Nombres appareils installés]]</f>
        <v>3500</v>
      </c>
      <c r="AA93" s="194">
        <f>Tableau4[[#This Row],[AF 3 par appareil ($)]]/Tableau4[[#This Row],[Surcoût par appareil ($)]]</f>
        <v>0.68447608245003333</v>
      </c>
      <c r="AB93" s="194">
        <f>Tableau4[[#This Row],[Couverture 3 (%)]]*Tableau4[[#This Row],[Nombres appareils installés]]</f>
        <v>1.3689521649000667</v>
      </c>
      <c r="AC93" s="189">
        <f>($AC$4+$AD$4*(Tableau4[[#This Row],[Capacité (BTU)]]/1000))*Tableau4[[#This Row],[Nombres appareils installés]]</f>
        <v>6000</v>
      </c>
      <c r="AD93" s="189">
        <f>Tableau4[[#This Row],[AF 4 ($)]]/Tableau4[[#This Row],[Nombres appareils installés]]</f>
        <v>3000</v>
      </c>
      <c r="AE93" s="195">
        <f>Tableau4[[#This Row],[Couverture 4 (%)]]*Tableau4[[#This Row],[Nombres appareils installés]]</f>
        <v>1.1733875699143428</v>
      </c>
      <c r="AF93" s="194">
        <f>Tableau4[[#This Row],[AF 4 par appareil  ($)]]/Tableau4[[#This Row],[Surcoût par appareil ($)]]</f>
        <v>0.58669378495717139</v>
      </c>
    </row>
    <row r="94" spans="2:32" x14ac:dyDescent="0.3">
      <c r="B94" s="196" t="s">
        <v>235</v>
      </c>
      <c r="C94" s="189" t="s">
        <v>266</v>
      </c>
      <c r="D94" s="189">
        <v>1</v>
      </c>
      <c r="E94" s="189">
        <v>215000</v>
      </c>
      <c r="F94" s="197">
        <f>Tableau4[[#This Row],[Economies totales (m3)]]/Tableau4[[#This Row],[Nombres appareils installés]]</f>
        <v>1085.75</v>
      </c>
      <c r="G94" s="191">
        <v>1085.75</v>
      </c>
      <c r="H94" s="189">
        <f t="shared" si="2"/>
        <v>2898.6499999999996</v>
      </c>
      <c r="I94" s="189">
        <v>2400</v>
      </c>
      <c r="J94" s="189">
        <f>Tableau4[[#This Row],[Surcoût moyens de l''équipement ($)]]+Tableau4[[#This Row],[Surcoût moyen de l''installation ($)]]</f>
        <v>5298.65</v>
      </c>
      <c r="K94" s="189">
        <f>Tableau4[[#This Row],[Surcoût par appareil ($)]]*Tableau4[[#This Row],[Nombres appareils installés]]</f>
        <v>5298.65</v>
      </c>
      <c r="L94" s="191">
        <v>1700</v>
      </c>
      <c r="M94" s="189">
        <f t="shared" si="3"/>
        <v>1975</v>
      </c>
      <c r="N94" s="189">
        <f>Tableau4[[#This Row],[AF 0 ($)]]/Tableau4[[#This Row],[Nombres appareils installés]]</f>
        <v>1975</v>
      </c>
      <c r="O94" s="192">
        <f>(Tableau4[[#This Row],[AF accordée ($)]])/($J$6*D94)</f>
        <v>0.42463905680171854</v>
      </c>
      <c r="P94" s="192">
        <f>Tableau4[[#This Row],[Couverture 0 (%)]]*Tableau4[[#This Row],[Nombres appareils installés]]</f>
        <v>0.42463905680171854</v>
      </c>
      <c r="Q94" s="189">
        <f>($Q$4+$R$4*(Tableau4[[#This Row],[Capacité (BTU)]]/1000))*Tableau4[[#This Row],[Nombres appareils installés]]</f>
        <v>3075</v>
      </c>
      <c r="R94" s="189">
        <f>Tableau4[[#This Row],[AF 1 ($)]]/Tableau4[[#This Row],[Nombres appareils installés]]</f>
        <v>3075</v>
      </c>
      <c r="S94" s="192">
        <f>Tableau4[[#This Row],[AF 1 ($)]]/(J94*D94)</f>
        <v>0.58033650080680932</v>
      </c>
      <c r="T94" s="192">
        <f>Tableau4[[#This Row],[Couverture 1 (%)]]*Tableau4[[#This Row],[Nombres appareils installés]]</f>
        <v>0.58033650080680932</v>
      </c>
      <c r="U94" s="189">
        <f>($U$4+($V$4*(Tableau4[[#This Row],[Capacité (BTU)]]/1000)))*Tableau4[[#This Row],[Nombres appareils installés]]</f>
        <v>3612.5</v>
      </c>
      <c r="V94" s="189">
        <f>Tableau4[[#This Row],[AF 2 ($)]]/Tableau4[[#This Row],[Nombres appareils installés]]</f>
        <v>3612.5</v>
      </c>
      <c r="W94" s="193">
        <f>Tableau4[[#This Row],[AF 2 par appareil ($)]]/Tableau4[[#This Row],[Surcoût par appareil ($)]]</f>
        <v>0.68177743387466627</v>
      </c>
      <c r="X94" s="193">
        <f>Tableau4[[#This Row],[Couverture 2 (%)]]*Tableau4[[#This Row],[Nombres appareils installés]]</f>
        <v>0.68177743387466627</v>
      </c>
      <c r="Y94" s="189">
        <f>($Y$4+$Z$4*(Tableau4[[#This Row],[Capacité (BTU)]]/1000))*Tableau4[[#This Row],[Nombres appareils installés]]</f>
        <v>3575</v>
      </c>
      <c r="Z94" s="189">
        <f>Tableau4[[#This Row],[AF 3 ($)]]/Tableau4[[#This Row],[Nombres appareils installés]]</f>
        <v>3575</v>
      </c>
      <c r="AA94" s="194">
        <f>Tableau4[[#This Row],[AF 3 par appareil ($)]]/Tableau4[[#This Row],[Surcoût par appareil ($)]]</f>
        <v>0.67470015947458317</v>
      </c>
      <c r="AB94" s="194">
        <f>Tableau4[[#This Row],[Couverture 3 (%)]]*Tableau4[[#This Row],[Nombres appareils installés]]</f>
        <v>0.67470015947458317</v>
      </c>
      <c r="AC94" s="189">
        <f>($AC$4+$AD$4*(Tableau4[[#This Row],[Capacité (BTU)]]/1000))*Tableau4[[#This Row],[Nombres appareils installés]]</f>
        <v>3060</v>
      </c>
      <c r="AD94" s="189">
        <f>Tableau4[[#This Row],[AF 4 ($)]]/Tableau4[[#This Row],[Nombres appareils installés]]</f>
        <v>3060</v>
      </c>
      <c r="AE94" s="195">
        <f>Tableau4[[#This Row],[Couverture 4 (%)]]*Tableau4[[#This Row],[Nombres appareils installés]]</f>
        <v>0.57750559104677612</v>
      </c>
      <c r="AF94" s="194">
        <f>Tableau4[[#This Row],[AF 4 par appareil  ($)]]/Tableau4[[#This Row],[Surcoût par appareil ($)]]</f>
        <v>0.57750559104677612</v>
      </c>
    </row>
    <row r="95" spans="2:32" x14ac:dyDescent="0.3">
      <c r="B95" s="196" t="s">
        <v>235</v>
      </c>
      <c r="C95" s="189" t="s">
        <v>267</v>
      </c>
      <c r="D95" s="189">
        <v>1</v>
      </c>
      <c r="E95" s="189">
        <v>215000</v>
      </c>
      <c r="F95" s="197">
        <f>Tableau4[[#This Row],[Economies totales (m3)]]/Tableau4[[#This Row],[Nombres appareils installés]]</f>
        <v>1085.75</v>
      </c>
      <c r="G95" s="191">
        <v>1085.75</v>
      </c>
      <c r="H95" s="189">
        <f t="shared" si="2"/>
        <v>2898.6499999999996</v>
      </c>
      <c r="I95" s="189">
        <v>2400</v>
      </c>
      <c r="J95" s="189">
        <f>Tableau4[[#This Row],[Surcoût moyens de l''équipement ($)]]+Tableau4[[#This Row],[Surcoût moyen de l''installation ($)]]</f>
        <v>5298.65</v>
      </c>
      <c r="K95" s="189">
        <f>Tableau4[[#This Row],[Surcoût par appareil ($)]]*Tableau4[[#This Row],[Nombres appareils installés]]</f>
        <v>5298.65</v>
      </c>
      <c r="L95" s="191">
        <v>1700</v>
      </c>
      <c r="M95" s="189">
        <f t="shared" si="3"/>
        <v>1975</v>
      </c>
      <c r="N95" s="189">
        <f>Tableau4[[#This Row],[AF 0 ($)]]/Tableau4[[#This Row],[Nombres appareils installés]]</f>
        <v>1975</v>
      </c>
      <c r="O95" s="192">
        <f>(Tableau4[[#This Row],[AF accordée ($)]])/($J$6*D95)</f>
        <v>0.42463905680171854</v>
      </c>
      <c r="P95" s="192">
        <f>Tableau4[[#This Row],[Couverture 0 (%)]]*Tableau4[[#This Row],[Nombres appareils installés]]</f>
        <v>0.42463905680171854</v>
      </c>
      <c r="Q95" s="189">
        <f>($Q$4+$R$4*(Tableau4[[#This Row],[Capacité (BTU)]]/1000))*Tableau4[[#This Row],[Nombres appareils installés]]</f>
        <v>3075</v>
      </c>
      <c r="R95" s="189">
        <f>Tableau4[[#This Row],[AF 1 ($)]]/Tableau4[[#This Row],[Nombres appareils installés]]</f>
        <v>3075</v>
      </c>
      <c r="S95" s="192">
        <f>Tableau4[[#This Row],[AF 1 ($)]]/(J95*D95)</f>
        <v>0.58033650080680932</v>
      </c>
      <c r="T95" s="192">
        <f>Tableau4[[#This Row],[Couverture 1 (%)]]*Tableau4[[#This Row],[Nombres appareils installés]]</f>
        <v>0.58033650080680932</v>
      </c>
      <c r="U95" s="189">
        <f>($U$4+($V$4*(Tableau4[[#This Row],[Capacité (BTU)]]/1000)))*Tableau4[[#This Row],[Nombres appareils installés]]</f>
        <v>3612.5</v>
      </c>
      <c r="V95" s="189">
        <f>Tableau4[[#This Row],[AF 2 ($)]]/Tableau4[[#This Row],[Nombres appareils installés]]</f>
        <v>3612.5</v>
      </c>
      <c r="W95" s="193">
        <f>Tableau4[[#This Row],[AF 2 par appareil ($)]]/Tableau4[[#This Row],[Surcoût par appareil ($)]]</f>
        <v>0.68177743387466627</v>
      </c>
      <c r="X95" s="193">
        <f>Tableau4[[#This Row],[Couverture 2 (%)]]*Tableau4[[#This Row],[Nombres appareils installés]]</f>
        <v>0.68177743387466627</v>
      </c>
      <c r="Y95" s="189">
        <f>($Y$4+$Z$4*(Tableau4[[#This Row],[Capacité (BTU)]]/1000))*Tableau4[[#This Row],[Nombres appareils installés]]</f>
        <v>3575</v>
      </c>
      <c r="Z95" s="189">
        <f>Tableau4[[#This Row],[AF 3 ($)]]/Tableau4[[#This Row],[Nombres appareils installés]]</f>
        <v>3575</v>
      </c>
      <c r="AA95" s="194">
        <f>Tableau4[[#This Row],[AF 3 par appareil ($)]]/Tableau4[[#This Row],[Surcoût par appareil ($)]]</f>
        <v>0.67470015947458317</v>
      </c>
      <c r="AB95" s="194">
        <f>Tableau4[[#This Row],[Couverture 3 (%)]]*Tableau4[[#This Row],[Nombres appareils installés]]</f>
        <v>0.67470015947458317</v>
      </c>
      <c r="AC95" s="189">
        <f>($AC$4+$AD$4*(Tableau4[[#This Row],[Capacité (BTU)]]/1000))*Tableau4[[#This Row],[Nombres appareils installés]]</f>
        <v>3060</v>
      </c>
      <c r="AD95" s="189">
        <f>Tableau4[[#This Row],[AF 4 ($)]]/Tableau4[[#This Row],[Nombres appareils installés]]</f>
        <v>3060</v>
      </c>
      <c r="AE95" s="195">
        <f>Tableau4[[#This Row],[Couverture 4 (%)]]*Tableau4[[#This Row],[Nombres appareils installés]]</f>
        <v>0.57750559104677612</v>
      </c>
      <c r="AF95" s="194">
        <f>Tableau4[[#This Row],[AF 4 par appareil  ($)]]/Tableau4[[#This Row],[Surcoût par appareil ($)]]</f>
        <v>0.57750559104677612</v>
      </c>
    </row>
    <row r="96" spans="2:32" x14ac:dyDescent="0.3">
      <c r="B96" s="196" t="s">
        <v>235</v>
      </c>
      <c r="C96" s="189" t="s">
        <v>268</v>
      </c>
      <c r="D96" s="189">
        <v>1</v>
      </c>
      <c r="E96" s="189">
        <v>215000</v>
      </c>
      <c r="F96" s="197">
        <f>Tableau4[[#This Row],[Economies totales (m3)]]/Tableau4[[#This Row],[Nombres appareils installés]]</f>
        <v>1085.75</v>
      </c>
      <c r="G96" s="191">
        <v>1085.75</v>
      </c>
      <c r="H96" s="189">
        <f t="shared" si="2"/>
        <v>2898.6499999999996</v>
      </c>
      <c r="I96" s="189">
        <v>2400</v>
      </c>
      <c r="J96" s="189">
        <f>Tableau4[[#This Row],[Surcoût moyens de l''équipement ($)]]+Tableau4[[#This Row],[Surcoût moyen de l''installation ($)]]</f>
        <v>5298.65</v>
      </c>
      <c r="K96" s="189">
        <f>Tableau4[[#This Row],[Surcoût par appareil ($)]]*Tableau4[[#This Row],[Nombres appareils installés]]</f>
        <v>5298.65</v>
      </c>
      <c r="L96" s="191">
        <v>1700</v>
      </c>
      <c r="M96" s="189">
        <f t="shared" si="3"/>
        <v>1975</v>
      </c>
      <c r="N96" s="189">
        <f>Tableau4[[#This Row],[AF 0 ($)]]/Tableau4[[#This Row],[Nombres appareils installés]]</f>
        <v>1975</v>
      </c>
      <c r="O96" s="192">
        <f>(Tableau4[[#This Row],[AF accordée ($)]])/($J$6*D96)</f>
        <v>0.42463905680171854</v>
      </c>
      <c r="P96" s="192">
        <f>Tableau4[[#This Row],[Couverture 0 (%)]]*Tableau4[[#This Row],[Nombres appareils installés]]</f>
        <v>0.42463905680171854</v>
      </c>
      <c r="Q96" s="189">
        <f>($Q$4+$R$4*(Tableau4[[#This Row],[Capacité (BTU)]]/1000))*Tableau4[[#This Row],[Nombres appareils installés]]</f>
        <v>3075</v>
      </c>
      <c r="R96" s="189">
        <f>Tableau4[[#This Row],[AF 1 ($)]]/Tableau4[[#This Row],[Nombres appareils installés]]</f>
        <v>3075</v>
      </c>
      <c r="S96" s="192">
        <f>Tableau4[[#This Row],[AF 1 ($)]]/(J96*D96)</f>
        <v>0.58033650080680932</v>
      </c>
      <c r="T96" s="192">
        <f>Tableau4[[#This Row],[Couverture 1 (%)]]*Tableau4[[#This Row],[Nombres appareils installés]]</f>
        <v>0.58033650080680932</v>
      </c>
      <c r="U96" s="189">
        <f>($U$4+($V$4*(Tableau4[[#This Row],[Capacité (BTU)]]/1000)))*Tableau4[[#This Row],[Nombres appareils installés]]</f>
        <v>3612.5</v>
      </c>
      <c r="V96" s="189">
        <f>Tableau4[[#This Row],[AF 2 ($)]]/Tableau4[[#This Row],[Nombres appareils installés]]</f>
        <v>3612.5</v>
      </c>
      <c r="W96" s="193">
        <f>Tableau4[[#This Row],[AF 2 par appareil ($)]]/Tableau4[[#This Row],[Surcoût par appareil ($)]]</f>
        <v>0.68177743387466627</v>
      </c>
      <c r="X96" s="193">
        <f>Tableau4[[#This Row],[Couverture 2 (%)]]*Tableau4[[#This Row],[Nombres appareils installés]]</f>
        <v>0.68177743387466627</v>
      </c>
      <c r="Y96" s="189">
        <f>($Y$4+$Z$4*(Tableau4[[#This Row],[Capacité (BTU)]]/1000))*Tableau4[[#This Row],[Nombres appareils installés]]</f>
        <v>3575</v>
      </c>
      <c r="Z96" s="189">
        <f>Tableau4[[#This Row],[AF 3 ($)]]/Tableau4[[#This Row],[Nombres appareils installés]]</f>
        <v>3575</v>
      </c>
      <c r="AA96" s="194">
        <f>Tableau4[[#This Row],[AF 3 par appareil ($)]]/Tableau4[[#This Row],[Surcoût par appareil ($)]]</f>
        <v>0.67470015947458317</v>
      </c>
      <c r="AB96" s="194">
        <f>Tableau4[[#This Row],[Couverture 3 (%)]]*Tableau4[[#This Row],[Nombres appareils installés]]</f>
        <v>0.67470015947458317</v>
      </c>
      <c r="AC96" s="189">
        <f>($AC$4+$AD$4*(Tableau4[[#This Row],[Capacité (BTU)]]/1000))*Tableau4[[#This Row],[Nombres appareils installés]]</f>
        <v>3060</v>
      </c>
      <c r="AD96" s="189">
        <f>Tableau4[[#This Row],[AF 4 ($)]]/Tableau4[[#This Row],[Nombres appareils installés]]</f>
        <v>3060</v>
      </c>
      <c r="AE96" s="195">
        <f>Tableau4[[#This Row],[Couverture 4 (%)]]*Tableau4[[#This Row],[Nombres appareils installés]]</f>
        <v>0.57750559104677612</v>
      </c>
      <c r="AF96" s="194">
        <f>Tableau4[[#This Row],[AF 4 par appareil  ($)]]/Tableau4[[#This Row],[Surcoût par appareil ($)]]</f>
        <v>0.57750559104677612</v>
      </c>
    </row>
    <row r="97" spans="2:32" x14ac:dyDescent="0.3">
      <c r="B97" s="196" t="s">
        <v>235</v>
      </c>
      <c r="C97" s="189" t="s">
        <v>263</v>
      </c>
      <c r="D97" s="189">
        <v>1</v>
      </c>
      <c r="E97" s="189">
        <v>215000</v>
      </c>
      <c r="F97" s="197">
        <f>Tableau4[[#This Row],[Economies totales (m3)]]/Tableau4[[#This Row],[Nombres appareils installés]]</f>
        <v>1085.75</v>
      </c>
      <c r="G97" s="191">
        <v>1085.75</v>
      </c>
      <c r="H97" s="189">
        <f t="shared" si="2"/>
        <v>2898.6499999999996</v>
      </c>
      <c r="I97" s="189">
        <v>2400</v>
      </c>
      <c r="J97" s="189">
        <f>Tableau4[[#This Row],[Surcoût moyens de l''équipement ($)]]+Tableau4[[#This Row],[Surcoût moyen de l''installation ($)]]</f>
        <v>5298.65</v>
      </c>
      <c r="K97" s="189">
        <f>Tableau4[[#This Row],[Surcoût par appareil ($)]]*Tableau4[[#This Row],[Nombres appareils installés]]</f>
        <v>5298.65</v>
      </c>
      <c r="L97" s="191">
        <v>1700</v>
      </c>
      <c r="M97" s="189">
        <f t="shared" si="3"/>
        <v>1975</v>
      </c>
      <c r="N97" s="189">
        <f>Tableau4[[#This Row],[AF 0 ($)]]/Tableau4[[#This Row],[Nombres appareils installés]]</f>
        <v>1975</v>
      </c>
      <c r="O97" s="192">
        <f>(Tableau4[[#This Row],[AF accordée ($)]])/($J$6*D97)</f>
        <v>0.42463905680171854</v>
      </c>
      <c r="P97" s="192">
        <f>Tableau4[[#This Row],[Couverture 0 (%)]]*Tableau4[[#This Row],[Nombres appareils installés]]</f>
        <v>0.42463905680171854</v>
      </c>
      <c r="Q97" s="189">
        <f>($Q$4+$R$4*(Tableau4[[#This Row],[Capacité (BTU)]]/1000))*Tableau4[[#This Row],[Nombres appareils installés]]</f>
        <v>3075</v>
      </c>
      <c r="R97" s="189">
        <f>Tableau4[[#This Row],[AF 1 ($)]]/Tableau4[[#This Row],[Nombres appareils installés]]</f>
        <v>3075</v>
      </c>
      <c r="S97" s="192">
        <f>Tableau4[[#This Row],[AF 1 ($)]]/(J97*D97)</f>
        <v>0.58033650080680932</v>
      </c>
      <c r="T97" s="192">
        <f>Tableau4[[#This Row],[Couverture 1 (%)]]*Tableau4[[#This Row],[Nombres appareils installés]]</f>
        <v>0.58033650080680932</v>
      </c>
      <c r="U97" s="189">
        <f>($U$4+($V$4*(Tableau4[[#This Row],[Capacité (BTU)]]/1000)))*Tableau4[[#This Row],[Nombres appareils installés]]</f>
        <v>3612.5</v>
      </c>
      <c r="V97" s="189">
        <f>Tableau4[[#This Row],[AF 2 ($)]]/Tableau4[[#This Row],[Nombres appareils installés]]</f>
        <v>3612.5</v>
      </c>
      <c r="W97" s="193">
        <f>Tableau4[[#This Row],[AF 2 par appareil ($)]]/Tableau4[[#This Row],[Surcoût par appareil ($)]]</f>
        <v>0.68177743387466627</v>
      </c>
      <c r="X97" s="193">
        <f>Tableau4[[#This Row],[Couverture 2 (%)]]*Tableau4[[#This Row],[Nombres appareils installés]]</f>
        <v>0.68177743387466627</v>
      </c>
      <c r="Y97" s="189">
        <f>($Y$4+$Z$4*(Tableau4[[#This Row],[Capacité (BTU)]]/1000))*Tableau4[[#This Row],[Nombres appareils installés]]</f>
        <v>3575</v>
      </c>
      <c r="Z97" s="189">
        <f>Tableau4[[#This Row],[AF 3 ($)]]/Tableau4[[#This Row],[Nombres appareils installés]]</f>
        <v>3575</v>
      </c>
      <c r="AA97" s="194">
        <f>Tableau4[[#This Row],[AF 3 par appareil ($)]]/Tableau4[[#This Row],[Surcoût par appareil ($)]]</f>
        <v>0.67470015947458317</v>
      </c>
      <c r="AB97" s="194">
        <f>Tableau4[[#This Row],[Couverture 3 (%)]]*Tableau4[[#This Row],[Nombres appareils installés]]</f>
        <v>0.67470015947458317</v>
      </c>
      <c r="AC97" s="189">
        <f>($AC$4+$AD$4*(Tableau4[[#This Row],[Capacité (BTU)]]/1000))*Tableau4[[#This Row],[Nombres appareils installés]]</f>
        <v>3060</v>
      </c>
      <c r="AD97" s="189">
        <f>Tableau4[[#This Row],[AF 4 ($)]]/Tableau4[[#This Row],[Nombres appareils installés]]</f>
        <v>3060</v>
      </c>
      <c r="AE97" s="195">
        <f>Tableau4[[#This Row],[Couverture 4 (%)]]*Tableau4[[#This Row],[Nombres appareils installés]]</f>
        <v>0.57750559104677612</v>
      </c>
      <c r="AF97" s="194">
        <f>Tableau4[[#This Row],[AF 4 par appareil  ($)]]/Tableau4[[#This Row],[Surcoût par appareil ($)]]</f>
        <v>0.57750559104677612</v>
      </c>
    </row>
    <row r="98" spans="2:32" x14ac:dyDescent="0.3">
      <c r="B98" s="196" t="s">
        <v>235</v>
      </c>
      <c r="C98" s="189" t="s">
        <v>269</v>
      </c>
      <c r="D98" s="189">
        <v>1</v>
      </c>
      <c r="E98" s="189">
        <v>215000</v>
      </c>
      <c r="F98" s="197">
        <f>Tableau4[[#This Row],[Economies totales (m3)]]/Tableau4[[#This Row],[Nombres appareils installés]]</f>
        <v>1085.75</v>
      </c>
      <c r="G98" s="191">
        <v>1085.75</v>
      </c>
      <c r="H98" s="189">
        <f t="shared" si="2"/>
        <v>2898.6499999999996</v>
      </c>
      <c r="I98" s="189">
        <v>2400</v>
      </c>
      <c r="J98" s="189">
        <f>Tableau4[[#This Row],[Surcoût moyens de l''équipement ($)]]+Tableau4[[#This Row],[Surcoût moyen de l''installation ($)]]</f>
        <v>5298.65</v>
      </c>
      <c r="K98" s="189">
        <f>Tableau4[[#This Row],[Surcoût par appareil ($)]]*Tableau4[[#This Row],[Nombres appareils installés]]</f>
        <v>5298.65</v>
      </c>
      <c r="L98" s="191">
        <v>1700</v>
      </c>
      <c r="M98" s="189">
        <f t="shared" si="3"/>
        <v>1975</v>
      </c>
      <c r="N98" s="189">
        <f>Tableau4[[#This Row],[AF 0 ($)]]/Tableau4[[#This Row],[Nombres appareils installés]]</f>
        <v>1975</v>
      </c>
      <c r="O98" s="192">
        <f>(Tableau4[[#This Row],[AF accordée ($)]])/($J$6*D98)</f>
        <v>0.42463905680171854</v>
      </c>
      <c r="P98" s="192">
        <f>Tableau4[[#This Row],[Couverture 0 (%)]]*Tableau4[[#This Row],[Nombres appareils installés]]</f>
        <v>0.42463905680171854</v>
      </c>
      <c r="Q98" s="189">
        <f>($Q$4+$R$4*(Tableau4[[#This Row],[Capacité (BTU)]]/1000))*Tableau4[[#This Row],[Nombres appareils installés]]</f>
        <v>3075</v>
      </c>
      <c r="R98" s="189">
        <f>Tableau4[[#This Row],[AF 1 ($)]]/Tableau4[[#This Row],[Nombres appareils installés]]</f>
        <v>3075</v>
      </c>
      <c r="S98" s="192">
        <f>Tableau4[[#This Row],[AF 1 ($)]]/(J98*D98)</f>
        <v>0.58033650080680932</v>
      </c>
      <c r="T98" s="192">
        <f>Tableau4[[#This Row],[Couverture 1 (%)]]*Tableau4[[#This Row],[Nombres appareils installés]]</f>
        <v>0.58033650080680932</v>
      </c>
      <c r="U98" s="189">
        <f>($U$4+($V$4*(Tableau4[[#This Row],[Capacité (BTU)]]/1000)))*Tableau4[[#This Row],[Nombres appareils installés]]</f>
        <v>3612.5</v>
      </c>
      <c r="V98" s="189">
        <f>Tableau4[[#This Row],[AF 2 ($)]]/Tableau4[[#This Row],[Nombres appareils installés]]</f>
        <v>3612.5</v>
      </c>
      <c r="W98" s="193">
        <f>Tableau4[[#This Row],[AF 2 par appareil ($)]]/Tableau4[[#This Row],[Surcoût par appareil ($)]]</f>
        <v>0.68177743387466627</v>
      </c>
      <c r="X98" s="193">
        <f>Tableau4[[#This Row],[Couverture 2 (%)]]*Tableau4[[#This Row],[Nombres appareils installés]]</f>
        <v>0.68177743387466627</v>
      </c>
      <c r="Y98" s="189">
        <f>($Y$4+$Z$4*(Tableau4[[#This Row],[Capacité (BTU)]]/1000))*Tableau4[[#This Row],[Nombres appareils installés]]</f>
        <v>3575</v>
      </c>
      <c r="Z98" s="189">
        <f>Tableau4[[#This Row],[AF 3 ($)]]/Tableau4[[#This Row],[Nombres appareils installés]]</f>
        <v>3575</v>
      </c>
      <c r="AA98" s="194">
        <f>Tableau4[[#This Row],[AF 3 par appareil ($)]]/Tableau4[[#This Row],[Surcoût par appareil ($)]]</f>
        <v>0.67470015947458317</v>
      </c>
      <c r="AB98" s="194">
        <f>Tableau4[[#This Row],[Couverture 3 (%)]]*Tableau4[[#This Row],[Nombres appareils installés]]</f>
        <v>0.67470015947458317</v>
      </c>
      <c r="AC98" s="189">
        <f>($AC$4+$AD$4*(Tableau4[[#This Row],[Capacité (BTU)]]/1000))*Tableau4[[#This Row],[Nombres appareils installés]]</f>
        <v>3060</v>
      </c>
      <c r="AD98" s="189">
        <f>Tableau4[[#This Row],[AF 4 ($)]]/Tableau4[[#This Row],[Nombres appareils installés]]</f>
        <v>3060</v>
      </c>
      <c r="AE98" s="195">
        <f>Tableau4[[#This Row],[Couverture 4 (%)]]*Tableau4[[#This Row],[Nombres appareils installés]]</f>
        <v>0.57750559104677612</v>
      </c>
      <c r="AF98" s="194">
        <f>Tableau4[[#This Row],[AF 4 par appareil  ($)]]/Tableau4[[#This Row],[Surcoût par appareil ($)]]</f>
        <v>0.57750559104677612</v>
      </c>
    </row>
    <row r="99" spans="2:32" x14ac:dyDescent="0.3">
      <c r="B99" s="196" t="s">
        <v>235</v>
      </c>
      <c r="C99" s="189" t="s">
        <v>270</v>
      </c>
      <c r="D99" s="189">
        <v>1</v>
      </c>
      <c r="E99" s="189">
        <v>215000</v>
      </c>
      <c r="F99" s="197">
        <f>Tableau4[[#This Row],[Economies totales (m3)]]/Tableau4[[#This Row],[Nombres appareils installés]]</f>
        <v>1085.75</v>
      </c>
      <c r="G99" s="191">
        <v>1085.75</v>
      </c>
      <c r="H99" s="189">
        <f t="shared" si="2"/>
        <v>2898.6499999999996</v>
      </c>
      <c r="I99" s="189">
        <v>2400</v>
      </c>
      <c r="J99" s="189">
        <f>Tableau4[[#This Row],[Surcoût moyens de l''équipement ($)]]+Tableau4[[#This Row],[Surcoût moyen de l''installation ($)]]</f>
        <v>5298.65</v>
      </c>
      <c r="K99" s="189">
        <f>Tableau4[[#This Row],[Surcoût par appareil ($)]]*Tableau4[[#This Row],[Nombres appareils installés]]</f>
        <v>5298.65</v>
      </c>
      <c r="L99" s="191">
        <v>1700</v>
      </c>
      <c r="M99" s="189">
        <f t="shared" si="3"/>
        <v>1975</v>
      </c>
      <c r="N99" s="189">
        <f>Tableau4[[#This Row],[AF 0 ($)]]/Tableau4[[#This Row],[Nombres appareils installés]]</f>
        <v>1975</v>
      </c>
      <c r="O99" s="192">
        <f>(Tableau4[[#This Row],[AF accordée ($)]])/($J$6*D99)</f>
        <v>0.42463905680171854</v>
      </c>
      <c r="P99" s="192">
        <f>Tableau4[[#This Row],[Couverture 0 (%)]]*Tableau4[[#This Row],[Nombres appareils installés]]</f>
        <v>0.42463905680171854</v>
      </c>
      <c r="Q99" s="189">
        <f>($Q$4+$R$4*(Tableau4[[#This Row],[Capacité (BTU)]]/1000))*Tableau4[[#This Row],[Nombres appareils installés]]</f>
        <v>3075</v>
      </c>
      <c r="R99" s="189">
        <f>Tableau4[[#This Row],[AF 1 ($)]]/Tableau4[[#This Row],[Nombres appareils installés]]</f>
        <v>3075</v>
      </c>
      <c r="S99" s="192">
        <f>Tableau4[[#This Row],[AF 1 ($)]]/(J99*D99)</f>
        <v>0.58033650080680932</v>
      </c>
      <c r="T99" s="192">
        <f>Tableau4[[#This Row],[Couverture 1 (%)]]*Tableau4[[#This Row],[Nombres appareils installés]]</f>
        <v>0.58033650080680932</v>
      </c>
      <c r="U99" s="189">
        <f>($U$4+($V$4*(Tableau4[[#This Row],[Capacité (BTU)]]/1000)))*Tableau4[[#This Row],[Nombres appareils installés]]</f>
        <v>3612.5</v>
      </c>
      <c r="V99" s="189">
        <f>Tableau4[[#This Row],[AF 2 ($)]]/Tableau4[[#This Row],[Nombres appareils installés]]</f>
        <v>3612.5</v>
      </c>
      <c r="W99" s="193">
        <f>Tableau4[[#This Row],[AF 2 par appareil ($)]]/Tableau4[[#This Row],[Surcoût par appareil ($)]]</f>
        <v>0.68177743387466627</v>
      </c>
      <c r="X99" s="193">
        <f>Tableau4[[#This Row],[Couverture 2 (%)]]*Tableau4[[#This Row],[Nombres appareils installés]]</f>
        <v>0.68177743387466627</v>
      </c>
      <c r="Y99" s="189">
        <f>($Y$4+$Z$4*(Tableau4[[#This Row],[Capacité (BTU)]]/1000))*Tableau4[[#This Row],[Nombres appareils installés]]</f>
        <v>3575</v>
      </c>
      <c r="Z99" s="189">
        <f>Tableau4[[#This Row],[AF 3 ($)]]/Tableau4[[#This Row],[Nombres appareils installés]]</f>
        <v>3575</v>
      </c>
      <c r="AA99" s="194">
        <f>Tableau4[[#This Row],[AF 3 par appareil ($)]]/Tableau4[[#This Row],[Surcoût par appareil ($)]]</f>
        <v>0.67470015947458317</v>
      </c>
      <c r="AB99" s="194">
        <f>Tableau4[[#This Row],[Couverture 3 (%)]]*Tableau4[[#This Row],[Nombres appareils installés]]</f>
        <v>0.67470015947458317</v>
      </c>
      <c r="AC99" s="189">
        <f>($AC$4+$AD$4*(Tableau4[[#This Row],[Capacité (BTU)]]/1000))*Tableau4[[#This Row],[Nombres appareils installés]]</f>
        <v>3060</v>
      </c>
      <c r="AD99" s="189">
        <f>Tableau4[[#This Row],[AF 4 ($)]]/Tableau4[[#This Row],[Nombres appareils installés]]</f>
        <v>3060</v>
      </c>
      <c r="AE99" s="195">
        <f>Tableau4[[#This Row],[Couverture 4 (%)]]*Tableau4[[#This Row],[Nombres appareils installés]]</f>
        <v>0.57750559104677612</v>
      </c>
      <c r="AF99" s="194">
        <f>Tableau4[[#This Row],[AF 4 par appareil  ($)]]/Tableau4[[#This Row],[Surcoût par appareil ($)]]</f>
        <v>0.57750559104677612</v>
      </c>
    </row>
    <row r="100" spans="2:32" x14ac:dyDescent="0.3">
      <c r="B100" s="196" t="s">
        <v>235</v>
      </c>
      <c r="C100" s="189" t="s">
        <v>271</v>
      </c>
      <c r="D100" s="189">
        <v>2</v>
      </c>
      <c r="E100" s="189">
        <v>215000</v>
      </c>
      <c r="F100" s="197">
        <f>Tableau4[[#This Row],[Economies totales (m3)]]/Tableau4[[#This Row],[Nombres appareils installés]]</f>
        <v>1085.75</v>
      </c>
      <c r="G100" s="191">
        <v>2171.5</v>
      </c>
      <c r="H100" s="189">
        <f t="shared" si="2"/>
        <v>2898.6499999999996</v>
      </c>
      <c r="I100" s="189">
        <v>2400</v>
      </c>
      <c r="J100" s="189">
        <f>Tableau4[[#This Row],[Surcoût moyens de l''équipement ($)]]+Tableau4[[#This Row],[Surcoût moyen de l''installation ($)]]</f>
        <v>5298.65</v>
      </c>
      <c r="K100" s="189">
        <f>Tableau4[[#This Row],[Surcoût par appareil ($)]]*Tableau4[[#This Row],[Nombres appareils installés]]</f>
        <v>10597.3</v>
      </c>
      <c r="L100" s="191">
        <v>3400</v>
      </c>
      <c r="M100" s="189">
        <f t="shared" si="3"/>
        <v>3950</v>
      </c>
      <c r="N100" s="189">
        <f>Tableau4[[#This Row],[AF 0 ($)]]/Tableau4[[#This Row],[Nombres appareils installés]]</f>
        <v>1975</v>
      </c>
      <c r="O100" s="192">
        <f>(Tableau4[[#This Row],[AF accordée ($)]])/($J$6*D100)</f>
        <v>0.42463905680171854</v>
      </c>
      <c r="P100" s="192">
        <f>Tableau4[[#This Row],[Couverture 0 (%)]]*Tableau4[[#This Row],[Nombres appareils installés]]</f>
        <v>0.84927811360343708</v>
      </c>
      <c r="Q100" s="189">
        <f>($Q$4+$R$4*(Tableau4[[#This Row],[Capacité (BTU)]]/1000))*Tableau4[[#This Row],[Nombres appareils installés]]</f>
        <v>6150</v>
      </c>
      <c r="R100" s="189">
        <f>Tableau4[[#This Row],[AF 1 ($)]]/Tableau4[[#This Row],[Nombres appareils installés]]</f>
        <v>3075</v>
      </c>
      <c r="S100" s="192">
        <f>Tableau4[[#This Row],[AF 1 ($)]]/(J100*D100)</f>
        <v>0.58033650080680932</v>
      </c>
      <c r="T100" s="192">
        <f>Tableau4[[#This Row],[Couverture 1 (%)]]*Tableau4[[#This Row],[Nombres appareils installés]]</f>
        <v>1.1606730016136186</v>
      </c>
      <c r="U100" s="189">
        <f>($U$4+($V$4*(Tableau4[[#This Row],[Capacité (BTU)]]/1000)))*Tableau4[[#This Row],[Nombres appareils installés]]</f>
        <v>7225</v>
      </c>
      <c r="V100" s="189">
        <f>Tableau4[[#This Row],[AF 2 ($)]]/Tableau4[[#This Row],[Nombres appareils installés]]</f>
        <v>3612.5</v>
      </c>
      <c r="W100" s="193">
        <f>Tableau4[[#This Row],[AF 2 par appareil ($)]]/Tableau4[[#This Row],[Surcoût par appareil ($)]]</f>
        <v>0.68177743387466627</v>
      </c>
      <c r="X100" s="193">
        <f>Tableau4[[#This Row],[Couverture 2 (%)]]*Tableau4[[#This Row],[Nombres appareils installés]]</f>
        <v>1.3635548677493325</v>
      </c>
      <c r="Y100" s="189">
        <f>($Y$4+$Z$4*(Tableau4[[#This Row],[Capacité (BTU)]]/1000))*Tableau4[[#This Row],[Nombres appareils installés]]</f>
        <v>7150</v>
      </c>
      <c r="Z100" s="189">
        <f>Tableau4[[#This Row],[AF 3 ($)]]/Tableau4[[#This Row],[Nombres appareils installés]]</f>
        <v>3575</v>
      </c>
      <c r="AA100" s="194">
        <f>Tableau4[[#This Row],[AF 3 par appareil ($)]]/Tableau4[[#This Row],[Surcoût par appareil ($)]]</f>
        <v>0.67470015947458317</v>
      </c>
      <c r="AB100" s="194">
        <f>Tableau4[[#This Row],[Couverture 3 (%)]]*Tableau4[[#This Row],[Nombres appareils installés]]</f>
        <v>1.3494003189491663</v>
      </c>
      <c r="AC100" s="189">
        <f>($AC$4+$AD$4*(Tableau4[[#This Row],[Capacité (BTU)]]/1000))*Tableau4[[#This Row],[Nombres appareils installés]]</f>
        <v>6120</v>
      </c>
      <c r="AD100" s="189">
        <f>Tableau4[[#This Row],[AF 4 ($)]]/Tableau4[[#This Row],[Nombres appareils installés]]</f>
        <v>3060</v>
      </c>
      <c r="AE100" s="195">
        <f>Tableau4[[#This Row],[Couverture 4 (%)]]*Tableau4[[#This Row],[Nombres appareils installés]]</f>
        <v>1.1550111820935522</v>
      </c>
      <c r="AF100" s="194">
        <f>Tableau4[[#This Row],[AF 4 par appareil  ($)]]/Tableau4[[#This Row],[Surcoût par appareil ($)]]</f>
        <v>0.57750559104677612</v>
      </c>
    </row>
    <row r="101" spans="2:32" x14ac:dyDescent="0.3">
      <c r="B101" s="196" t="s">
        <v>235</v>
      </c>
      <c r="C101" s="189" t="s">
        <v>272</v>
      </c>
      <c r="D101" s="189">
        <v>8</v>
      </c>
      <c r="E101" s="189">
        <v>215000</v>
      </c>
      <c r="F101" s="197">
        <f>Tableau4[[#This Row],[Economies totales (m3)]]/Tableau4[[#This Row],[Nombres appareils installés]]</f>
        <v>1085.75</v>
      </c>
      <c r="G101" s="191">
        <v>8686</v>
      </c>
      <c r="H101" s="189">
        <f t="shared" si="2"/>
        <v>2898.6499999999996</v>
      </c>
      <c r="I101" s="189">
        <v>2400</v>
      </c>
      <c r="J101" s="189">
        <f>Tableau4[[#This Row],[Surcoût moyens de l''équipement ($)]]+Tableau4[[#This Row],[Surcoût moyen de l''installation ($)]]</f>
        <v>5298.65</v>
      </c>
      <c r="K101" s="189">
        <f>Tableau4[[#This Row],[Surcoût par appareil ($)]]*Tableau4[[#This Row],[Nombres appareils installés]]</f>
        <v>42389.2</v>
      </c>
      <c r="L101" s="191">
        <v>13600</v>
      </c>
      <c r="M101" s="189">
        <f t="shared" si="3"/>
        <v>15800</v>
      </c>
      <c r="N101" s="189">
        <f>Tableau4[[#This Row],[AF 0 ($)]]/Tableau4[[#This Row],[Nombres appareils installés]]</f>
        <v>1975</v>
      </c>
      <c r="O101" s="192">
        <f>(Tableau4[[#This Row],[AF accordée ($)]])/($J$6*D101)</f>
        <v>0.42463905680171854</v>
      </c>
      <c r="P101" s="192">
        <f>Tableau4[[#This Row],[Couverture 0 (%)]]*Tableau4[[#This Row],[Nombres appareils installés]]</f>
        <v>3.3971124544137483</v>
      </c>
      <c r="Q101" s="189">
        <f>($Q$4+$R$4*(Tableau4[[#This Row],[Capacité (BTU)]]/1000))*Tableau4[[#This Row],[Nombres appareils installés]]</f>
        <v>24600</v>
      </c>
      <c r="R101" s="189">
        <f>Tableau4[[#This Row],[AF 1 ($)]]/Tableau4[[#This Row],[Nombres appareils installés]]</f>
        <v>3075</v>
      </c>
      <c r="S101" s="192">
        <f>Tableau4[[#This Row],[AF 1 ($)]]/(J101*D101)</f>
        <v>0.58033650080680932</v>
      </c>
      <c r="T101" s="192">
        <f>Tableau4[[#This Row],[Couverture 1 (%)]]*Tableau4[[#This Row],[Nombres appareils installés]]</f>
        <v>4.6426920064544746</v>
      </c>
      <c r="U101" s="189">
        <f>($U$4+($V$4*(Tableau4[[#This Row],[Capacité (BTU)]]/1000)))*Tableau4[[#This Row],[Nombres appareils installés]]</f>
        <v>28900</v>
      </c>
      <c r="V101" s="189">
        <f>Tableau4[[#This Row],[AF 2 ($)]]/Tableau4[[#This Row],[Nombres appareils installés]]</f>
        <v>3612.5</v>
      </c>
      <c r="W101" s="193">
        <f>Tableau4[[#This Row],[AF 2 par appareil ($)]]/Tableau4[[#This Row],[Surcoût par appareil ($)]]</f>
        <v>0.68177743387466627</v>
      </c>
      <c r="X101" s="193">
        <f>Tableau4[[#This Row],[Couverture 2 (%)]]*Tableau4[[#This Row],[Nombres appareils installés]]</f>
        <v>5.4542194709973302</v>
      </c>
      <c r="Y101" s="189">
        <f>($Y$4+$Z$4*(Tableau4[[#This Row],[Capacité (BTU)]]/1000))*Tableau4[[#This Row],[Nombres appareils installés]]</f>
        <v>28600</v>
      </c>
      <c r="Z101" s="189">
        <f>Tableau4[[#This Row],[AF 3 ($)]]/Tableau4[[#This Row],[Nombres appareils installés]]</f>
        <v>3575</v>
      </c>
      <c r="AA101" s="194">
        <f>Tableau4[[#This Row],[AF 3 par appareil ($)]]/Tableau4[[#This Row],[Surcoût par appareil ($)]]</f>
        <v>0.67470015947458317</v>
      </c>
      <c r="AB101" s="194">
        <f>Tableau4[[#This Row],[Couverture 3 (%)]]*Tableau4[[#This Row],[Nombres appareils installés]]</f>
        <v>5.3976012757966654</v>
      </c>
      <c r="AC101" s="189">
        <f>($AC$4+$AD$4*(Tableau4[[#This Row],[Capacité (BTU)]]/1000))*Tableau4[[#This Row],[Nombres appareils installés]]</f>
        <v>24480</v>
      </c>
      <c r="AD101" s="189">
        <f>Tableau4[[#This Row],[AF 4 ($)]]/Tableau4[[#This Row],[Nombres appareils installés]]</f>
        <v>3060</v>
      </c>
      <c r="AE101" s="195">
        <f>Tableau4[[#This Row],[Couverture 4 (%)]]*Tableau4[[#This Row],[Nombres appareils installés]]</f>
        <v>4.620044728374209</v>
      </c>
      <c r="AF101" s="194">
        <f>Tableau4[[#This Row],[AF 4 par appareil  ($)]]/Tableau4[[#This Row],[Surcoût par appareil ($)]]</f>
        <v>0.57750559104677612</v>
      </c>
    </row>
    <row r="102" spans="2:32" x14ac:dyDescent="0.3">
      <c r="B102" s="196" t="s">
        <v>235</v>
      </c>
      <c r="C102" s="189" t="s">
        <v>273</v>
      </c>
      <c r="D102" s="189">
        <v>1</v>
      </c>
      <c r="E102" s="189">
        <v>260000</v>
      </c>
      <c r="F102" s="197">
        <f>Tableau4[[#This Row],[Economies totales (m3)]]/Tableau4[[#This Row],[Nombres appareils installés]]</f>
        <v>1313</v>
      </c>
      <c r="G102" s="191">
        <v>1313</v>
      </c>
      <c r="H102" s="189">
        <f t="shared" si="2"/>
        <v>3535.3999999999996</v>
      </c>
      <c r="I102" s="189">
        <v>2400</v>
      </c>
      <c r="J102" s="189">
        <f>Tableau4[[#This Row],[Surcoût moyens de l''équipement ($)]]+Tableau4[[#This Row],[Surcoût moyen de l''installation ($)]]</f>
        <v>5935.4</v>
      </c>
      <c r="K102" s="189">
        <f>Tableau4[[#This Row],[Surcoût par appareil ($)]]*Tableau4[[#This Row],[Nombres appareils installés]]</f>
        <v>5935.4</v>
      </c>
      <c r="L102" s="191">
        <v>1700</v>
      </c>
      <c r="M102" s="189">
        <f t="shared" si="3"/>
        <v>2200</v>
      </c>
      <c r="N102" s="189">
        <f>Tableau4[[#This Row],[AF 0 ($)]]/Tableau4[[#This Row],[Nombres appareils installés]]</f>
        <v>2200</v>
      </c>
      <c r="O102" s="192">
        <f>(Tableau4[[#This Row],[AF accordée ($)]])/($J$6*D102)</f>
        <v>0.42463905680171854</v>
      </c>
      <c r="P102" s="192">
        <f>Tableau4[[#This Row],[Couverture 0 (%)]]*Tableau4[[#This Row],[Nombres appareils installés]]</f>
        <v>0.42463905680171854</v>
      </c>
      <c r="Q102" s="189">
        <f>($Q$4+$R$4*(Tableau4[[#This Row],[Capacité (BTU)]]/1000))*Tableau4[[#This Row],[Nombres appareils installés]]</f>
        <v>3300</v>
      </c>
      <c r="R102" s="189">
        <f>Tableau4[[#This Row],[AF 1 ($)]]/Tableau4[[#This Row],[Nombres appareils installés]]</f>
        <v>3300</v>
      </c>
      <c r="S102" s="192">
        <f>Tableau4[[#This Row],[AF 1 ($)]]/(J102*D102)</f>
        <v>0.55598611719513436</v>
      </c>
      <c r="T102" s="192">
        <f>Tableau4[[#This Row],[Couverture 1 (%)]]*Tableau4[[#This Row],[Nombres appareils installés]]</f>
        <v>0.55598611719513436</v>
      </c>
      <c r="U102" s="189">
        <f>($U$4+($V$4*(Tableau4[[#This Row],[Capacité (BTU)]]/1000)))*Tableau4[[#This Row],[Nombres appareils installés]]</f>
        <v>3950</v>
      </c>
      <c r="V102" s="189">
        <f>Tableau4[[#This Row],[AF 2 ($)]]/Tableau4[[#This Row],[Nombres appareils installés]]</f>
        <v>3950</v>
      </c>
      <c r="W102" s="193">
        <f>Tableau4[[#This Row],[AF 2 par appareil ($)]]/Tableau4[[#This Row],[Surcoût par appareil ($)]]</f>
        <v>0.66549853421841831</v>
      </c>
      <c r="X102" s="193">
        <f>Tableau4[[#This Row],[Couverture 2 (%)]]*Tableau4[[#This Row],[Nombres appareils installés]]</f>
        <v>0.66549853421841831</v>
      </c>
      <c r="Y102" s="189">
        <f>($Y$4+$Z$4*(Tableau4[[#This Row],[Capacité (BTU)]]/1000))*Tableau4[[#This Row],[Nombres appareils installés]]</f>
        <v>3800</v>
      </c>
      <c r="Z102" s="189">
        <f>Tableau4[[#This Row],[AF 3 ($)]]/Tableau4[[#This Row],[Nombres appareils installés]]</f>
        <v>3800</v>
      </c>
      <c r="AA102" s="194">
        <f>Tableau4[[#This Row],[AF 3 par appareil ($)]]/Tableau4[[#This Row],[Surcoût par appareil ($)]]</f>
        <v>0.64022643798227585</v>
      </c>
      <c r="AB102" s="194">
        <f>Tableau4[[#This Row],[Couverture 3 (%)]]*Tableau4[[#This Row],[Nombres appareils installés]]</f>
        <v>0.64022643798227585</v>
      </c>
      <c r="AC102" s="189">
        <f>($AC$4+$AD$4*(Tableau4[[#This Row],[Capacité (BTU)]]/1000))*Tableau4[[#This Row],[Nombres appareils installés]]</f>
        <v>3240</v>
      </c>
      <c r="AD102" s="189">
        <f>Tableau4[[#This Row],[AF 4 ($)]]/Tableau4[[#This Row],[Nombres appareils installés]]</f>
        <v>3240</v>
      </c>
      <c r="AE102" s="195">
        <f>Tableau4[[#This Row],[Couverture 4 (%)]]*Tableau4[[#This Row],[Nombres appareils installés]]</f>
        <v>0.54587727870067737</v>
      </c>
      <c r="AF102" s="194">
        <f>Tableau4[[#This Row],[AF 4 par appareil  ($)]]/Tableau4[[#This Row],[Surcoût par appareil ($)]]</f>
        <v>0.54587727870067737</v>
      </c>
    </row>
    <row r="103" spans="2:32" x14ac:dyDescent="0.3">
      <c r="B103" s="196" t="s">
        <v>235</v>
      </c>
      <c r="C103" s="189" t="s">
        <v>274</v>
      </c>
      <c r="D103" s="189">
        <v>1</v>
      </c>
      <c r="E103" s="189">
        <v>260000</v>
      </c>
      <c r="F103" s="197">
        <f>Tableau4[[#This Row],[Economies totales (m3)]]/Tableau4[[#This Row],[Nombres appareils installés]]</f>
        <v>1313</v>
      </c>
      <c r="G103" s="191">
        <v>1313</v>
      </c>
      <c r="H103" s="189">
        <f t="shared" si="2"/>
        <v>3535.3999999999996</v>
      </c>
      <c r="I103" s="189">
        <v>2400</v>
      </c>
      <c r="J103" s="189">
        <f>Tableau4[[#This Row],[Surcoût moyens de l''équipement ($)]]+Tableau4[[#This Row],[Surcoût moyen de l''installation ($)]]</f>
        <v>5935.4</v>
      </c>
      <c r="K103" s="189">
        <f>Tableau4[[#This Row],[Surcoût par appareil ($)]]*Tableau4[[#This Row],[Nombres appareils installés]]</f>
        <v>5935.4</v>
      </c>
      <c r="L103" s="191">
        <v>1700</v>
      </c>
      <c r="M103" s="189">
        <f t="shared" si="3"/>
        <v>2200</v>
      </c>
      <c r="N103" s="189">
        <f>Tableau4[[#This Row],[AF 0 ($)]]/Tableau4[[#This Row],[Nombres appareils installés]]</f>
        <v>2200</v>
      </c>
      <c r="O103" s="192">
        <f>(Tableau4[[#This Row],[AF accordée ($)]])/($J$6*D103)</f>
        <v>0.42463905680171854</v>
      </c>
      <c r="P103" s="192">
        <f>Tableau4[[#This Row],[Couverture 0 (%)]]*Tableau4[[#This Row],[Nombres appareils installés]]</f>
        <v>0.42463905680171854</v>
      </c>
      <c r="Q103" s="189">
        <f>($Q$4+$R$4*(Tableau4[[#This Row],[Capacité (BTU)]]/1000))*Tableau4[[#This Row],[Nombres appareils installés]]</f>
        <v>3300</v>
      </c>
      <c r="R103" s="189">
        <f>Tableau4[[#This Row],[AF 1 ($)]]/Tableau4[[#This Row],[Nombres appareils installés]]</f>
        <v>3300</v>
      </c>
      <c r="S103" s="192">
        <f>Tableau4[[#This Row],[AF 1 ($)]]/(J103*D103)</f>
        <v>0.55598611719513436</v>
      </c>
      <c r="T103" s="192">
        <f>Tableau4[[#This Row],[Couverture 1 (%)]]*Tableau4[[#This Row],[Nombres appareils installés]]</f>
        <v>0.55598611719513436</v>
      </c>
      <c r="U103" s="189">
        <f>($U$4+($V$4*(Tableau4[[#This Row],[Capacité (BTU)]]/1000)))*Tableau4[[#This Row],[Nombres appareils installés]]</f>
        <v>3950</v>
      </c>
      <c r="V103" s="189">
        <f>Tableau4[[#This Row],[AF 2 ($)]]/Tableau4[[#This Row],[Nombres appareils installés]]</f>
        <v>3950</v>
      </c>
      <c r="W103" s="193">
        <f>Tableau4[[#This Row],[AF 2 par appareil ($)]]/Tableau4[[#This Row],[Surcoût par appareil ($)]]</f>
        <v>0.66549853421841831</v>
      </c>
      <c r="X103" s="193">
        <f>Tableau4[[#This Row],[Couverture 2 (%)]]*Tableau4[[#This Row],[Nombres appareils installés]]</f>
        <v>0.66549853421841831</v>
      </c>
      <c r="Y103" s="189">
        <f>($Y$4+$Z$4*(Tableau4[[#This Row],[Capacité (BTU)]]/1000))*Tableau4[[#This Row],[Nombres appareils installés]]</f>
        <v>3800</v>
      </c>
      <c r="Z103" s="189">
        <f>Tableau4[[#This Row],[AF 3 ($)]]/Tableau4[[#This Row],[Nombres appareils installés]]</f>
        <v>3800</v>
      </c>
      <c r="AA103" s="194">
        <f>Tableau4[[#This Row],[AF 3 par appareil ($)]]/Tableau4[[#This Row],[Surcoût par appareil ($)]]</f>
        <v>0.64022643798227585</v>
      </c>
      <c r="AB103" s="194">
        <f>Tableau4[[#This Row],[Couverture 3 (%)]]*Tableau4[[#This Row],[Nombres appareils installés]]</f>
        <v>0.64022643798227585</v>
      </c>
      <c r="AC103" s="189">
        <f>($AC$4+$AD$4*(Tableau4[[#This Row],[Capacité (BTU)]]/1000))*Tableau4[[#This Row],[Nombres appareils installés]]</f>
        <v>3240</v>
      </c>
      <c r="AD103" s="189">
        <f>Tableau4[[#This Row],[AF 4 ($)]]/Tableau4[[#This Row],[Nombres appareils installés]]</f>
        <v>3240</v>
      </c>
      <c r="AE103" s="195">
        <f>Tableau4[[#This Row],[Couverture 4 (%)]]*Tableau4[[#This Row],[Nombres appareils installés]]</f>
        <v>0.54587727870067737</v>
      </c>
      <c r="AF103" s="194">
        <f>Tableau4[[#This Row],[AF 4 par appareil  ($)]]/Tableau4[[#This Row],[Surcoût par appareil ($)]]</f>
        <v>0.54587727870067737</v>
      </c>
    </row>
    <row r="104" spans="2:32" x14ac:dyDescent="0.3">
      <c r="B104" s="196" t="s">
        <v>235</v>
      </c>
      <c r="C104" s="189" t="s">
        <v>275</v>
      </c>
      <c r="D104" s="189">
        <v>1</v>
      </c>
      <c r="E104" s="189">
        <v>260000</v>
      </c>
      <c r="F104" s="197">
        <f>Tableau4[[#This Row],[Economies totales (m3)]]/Tableau4[[#This Row],[Nombres appareils installés]]</f>
        <v>1313</v>
      </c>
      <c r="G104" s="191">
        <v>1313</v>
      </c>
      <c r="H104" s="189">
        <f t="shared" si="2"/>
        <v>3535.3999999999996</v>
      </c>
      <c r="I104" s="189">
        <v>2400</v>
      </c>
      <c r="J104" s="189">
        <f>Tableau4[[#This Row],[Surcoût moyens de l''équipement ($)]]+Tableau4[[#This Row],[Surcoût moyen de l''installation ($)]]</f>
        <v>5935.4</v>
      </c>
      <c r="K104" s="189">
        <f>Tableau4[[#This Row],[Surcoût par appareil ($)]]*Tableau4[[#This Row],[Nombres appareils installés]]</f>
        <v>5935.4</v>
      </c>
      <c r="L104" s="191">
        <v>1700</v>
      </c>
      <c r="M104" s="189">
        <f t="shared" si="3"/>
        <v>2200</v>
      </c>
      <c r="N104" s="189">
        <f>Tableau4[[#This Row],[AF 0 ($)]]/Tableau4[[#This Row],[Nombres appareils installés]]</f>
        <v>2200</v>
      </c>
      <c r="O104" s="192">
        <f>(Tableau4[[#This Row],[AF accordée ($)]])/($J$6*D104)</f>
        <v>0.42463905680171854</v>
      </c>
      <c r="P104" s="192">
        <f>Tableau4[[#This Row],[Couverture 0 (%)]]*Tableau4[[#This Row],[Nombres appareils installés]]</f>
        <v>0.42463905680171854</v>
      </c>
      <c r="Q104" s="189">
        <f>($Q$4+$R$4*(Tableau4[[#This Row],[Capacité (BTU)]]/1000))*Tableau4[[#This Row],[Nombres appareils installés]]</f>
        <v>3300</v>
      </c>
      <c r="R104" s="189">
        <f>Tableau4[[#This Row],[AF 1 ($)]]/Tableau4[[#This Row],[Nombres appareils installés]]</f>
        <v>3300</v>
      </c>
      <c r="S104" s="192">
        <f>Tableau4[[#This Row],[AF 1 ($)]]/(J104*D104)</f>
        <v>0.55598611719513436</v>
      </c>
      <c r="T104" s="192">
        <f>Tableau4[[#This Row],[Couverture 1 (%)]]*Tableau4[[#This Row],[Nombres appareils installés]]</f>
        <v>0.55598611719513436</v>
      </c>
      <c r="U104" s="189">
        <f>($U$4+($V$4*(Tableau4[[#This Row],[Capacité (BTU)]]/1000)))*Tableau4[[#This Row],[Nombres appareils installés]]</f>
        <v>3950</v>
      </c>
      <c r="V104" s="189">
        <f>Tableau4[[#This Row],[AF 2 ($)]]/Tableau4[[#This Row],[Nombres appareils installés]]</f>
        <v>3950</v>
      </c>
      <c r="W104" s="193">
        <f>Tableau4[[#This Row],[AF 2 par appareil ($)]]/Tableau4[[#This Row],[Surcoût par appareil ($)]]</f>
        <v>0.66549853421841831</v>
      </c>
      <c r="X104" s="193">
        <f>Tableau4[[#This Row],[Couverture 2 (%)]]*Tableau4[[#This Row],[Nombres appareils installés]]</f>
        <v>0.66549853421841831</v>
      </c>
      <c r="Y104" s="189">
        <f>($Y$4+$Z$4*(Tableau4[[#This Row],[Capacité (BTU)]]/1000))*Tableau4[[#This Row],[Nombres appareils installés]]</f>
        <v>3800</v>
      </c>
      <c r="Z104" s="189">
        <f>Tableau4[[#This Row],[AF 3 ($)]]/Tableau4[[#This Row],[Nombres appareils installés]]</f>
        <v>3800</v>
      </c>
      <c r="AA104" s="194">
        <f>Tableau4[[#This Row],[AF 3 par appareil ($)]]/Tableau4[[#This Row],[Surcoût par appareil ($)]]</f>
        <v>0.64022643798227585</v>
      </c>
      <c r="AB104" s="194">
        <f>Tableau4[[#This Row],[Couverture 3 (%)]]*Tableau4[[#This Row],[Nombres appareils installés]]</f>
        <v>0.64022643798227585</v>
      </c>
      <c r="AC104" s="189">
        <f>($AC$4+$AD$4*(Tableau4[[#This Row],[Capacité (BTU)]]/1000))*Tableau4[[#This Row],[Nombres appareils installés]]</f>
        <v>3240</v>
      </c>
      <c r="AD104" s="189">
        <f>Tableau4[[#This Row],[AF 4 ($)]]/Tableau4[[#This Row],[Nombres appareils installés]]</f>
        <v>3240</v>
      </c>
      <c r="AE104" s="195">
        <f>Tableau4[[#This Row],[Couverture 4 (%)]]*Tableau4[[#This Row],[Nombres appareils installés]]</f>
        <v>0.54587727870067737</v>
      </c>
      <c r="AF104" s="194">
        <f>Tableau4[[#This Row],[AF 4 par appareil  ($)]]/Tableau4[[#This Row],[Surcoût par appareil ($)]]</f>
        <v>0.54587727870067737</v>
      </c>
    </row>
    <row r="105" spans="2:32" x14ac:dyDescent="0.3">
      <c r="B105" s="196" t="s">
        <v>235</v>
      </c>
      <c r="C105" s="189" t="s">
        <v>276</v>
      </c>
      <c r="D105" s="189">
        <v>1</v>
      </c>
      <c r="E105" s="189">
        <v>260000</v>
      </c>
      <c r="F105" s="197">
        <f>Tableau4[[#This Row],[Economies totales (m3)]]/Tableau4[[#This Row],[Nombres appareils installés]]</f>
        <v>1313</v>
      </c>
      <c r="G105" s="191">
        <v>1313</v>
      </c>
      <c r="H105" s="189">
        <f t="shared" si="2"/>
        <v>3535.3999999999996</v>
      </c>
      <c r="I105" s="189">
        <v>2400</v>
      </c>
      <c r="J105" s="189">
        <f>Tableau4[[#This Row],[Surcoût moyens de l''équipement ($)]]+Tableau4[[#This Row],[Surcoût moyen de l''installation ($)]]</f>
        <v>5935.4</v>
      </c>
      <c r="K105" s="189">
        <f>Tableau4[[#This Row],[Surcoût par appareil ($)]]*Tableau4[[#This Row],[Nombres appareils installés]]</f>
        <v>5935.4</v>
      </c>
      <c r="L105" s="191">
        <v>1700</v>
      </c>
      <c r="M105" s="189">
        <f t="shared" si="3"/>
        <v>2200</v>
      </c>
      <c r="N105" s="189">
        <f>Tableau4[[#This Row],[AF 0 ($)]]/Tableau4[[#This Row],[Nombres appareils installés]]</f>
        <v>2200</v>
      </c>
      <c r="O105" s="192">
        <f>(Tableau4[[#This Row],[AF accordée ($)]])/($J$6*D105)</f>
        <v>0.42463905680171854</v>
      </c>
      <c r="P105" s="192">
        <f>Tableau4[[#This Row],[Couverture 0 (%)]]*Tableau4[[#This Row],[Nombres appareils installés]]</f>
        <v>0.42463905680171854</v>
      </c>
      <c r="Q105" s="189">
        <f>($Q$4+$R$4*(Tableau4[[#This Row],[Capacité (BTU)]]/1000))*Tableau4[[#This Row],[Nombres appareils installés]]</f>
        <v>3300</v>
      </c>
      <c r="R105" s="189">
        <f>Tableau4[[#This Row],[AF 1 ($)]]/Tableau4[[#This Row],[Nombres appareils installés]]</f>
        <v>3300</v>
      </c>
      <c r="S105" s="192">
        <f>Tableau4[[#This Row],[AF 1 ($)]]/(J105*D105)</f>
        <v>0.55598611719513436</v>
      </c>
      <c r="T105" s="192">
        <f>Tableau4[[#This Row],[Couverture 1 (%)]]*Tableau4[[#This Row],[Nombres appareils installés]]</f>
        <v>0.55598611719513436</v>
      </c>
      <c r="U105" s="189">
        <f>($U$4+($V$4*(Tableau4[[#This Row],[Capacité (BTU)]]/1000)))*Tableau4[[#This Row],[Nombres appareils installés]]</f>
        <v>3950</v>
      </c>
      <c r="V105" s="189">
        <f>Tableau4[[#This Row],[AF 2 ($)]]/Tableau4[[#This Row],[Nombres appareils installés]]</f>
        <v>3950</v>
      </c>
      <c r="W105" s="193">
        <f>Tableau4[[#This Row],[AF 2 par appareil ($)]]/Tableau4[[#This Row],[Surcoût par appareil ($)]]</f>
        <v>0.66549853421841831</v>
      </c>
      <c r="X105" s="193">
        <f>Tableau4[[#This Row],[Couverture 2 (%)]]*Tableau4[[#This Row],[Nombres appareils installés]]</f>
        <v>0.66549853421841831</v>
      </c>
      <c r="Y105" s="189">
        <f>($Y$4+$Z$4*(Tableau4[[#This Row],[Capacité (BTU)]]/1000))*Tableau4[[#This Row],[Nombres appareils installés]]</f>
        <v>3800</v>
      </c>
      <c r="Z105" s="189">
        <f>Tableau4[[#This Row],[AF 3 ($)]]/Tableau4[[#This Row],[Nombres appareils installés]]</f>
        <v>3800</v>
      </c>
      <c r="AA105" s="194">
        <f>Tableau4[[#This Row],[AF 3 par appareil ($)]]/Tableau4[[#This Row],[Surcoût par appareil ($)]]</f>
        <v>0.64022643798227585</v>
      </c>
      <c r="AB105" s="194">
        <f>Tableau4[[#This Row],[Couverture 3 (%)]]*Tableau4[[#This Row],[Nombres appareils installés]]</f>
        <v>0.64022643798227585</v>
      </c>
      <c r="AC105" s="189">
        <f>($AC$4+$AD$4*(Tableau4[[#This Row],[Capacité (BTU)]]/1000))*Tableau4[[#This Row],[Nombres appareils installés]]</f>
        <v>3240</v>
      </c>
      <c r="AD105" s="189">
        <f>Tableau4[[#This Row],[AF 4 ($)]]/Tableau4[[#This Row],[Nombres appareils installés]]</f>
        <v>3240</v>
      </c>
      <c r="AE105" s="195">
        <f>Tableau4[[#This Row],[Couverture 4 (%)]]*Tableau4[[#This Row],[Nombres appareils installés]]</f>
        <v>0.54587727870067737</v>
      </c>
      <c r="AF105" s="194">
        <f>Tableau4[[#This Row],[AF 4 par appareil  ($)]]/Tableau4[[#This Row],[Surcoût par appareil ($)]]</f>
        <v>0.54587727870067737</v>
      </c>
    </row>
    <row r="106" spans="2:32" x14ac:dyDescent="0.3">
      <c r="B106" s="196" t="s">
        <v>235</v>
      </c>
      <c r="C106" s="189" t="s">
        <v>248</v>
      </c>
      <c r="D106" s="189">
        <v>1</v>
      </c>
      <c r="E106" s="189">
        <v>260000</v>
      </c>
      <c r="F106" s="197">
        <f>Tableau4[[#This Row],[Economies totales (m3)]]/Tableau4[[#This Row],[Nombres appareils installés]]</f>
        <v>1313</v>
      </c>
      <c r="G106" s="191">
        <v>1313</v>
      </c>
      <c r="H106" s="189">
        <f t="shared" si="2"/>
        <v>3535.3999999999996</v>
      </c>
      <c r="I106" s="189">
        <v>2400</v>
      </c>
      <c r="J106" s="189">
        <f>Tableau4[[#This Row],[Surcoût moyens de l''équipement ($)]]+Tableau4[[#This Row],[Surcoût moyen de l''installation ($)]]</f>
        <v>5935.4</v>
      </c>
      <c r="K106" s="189">
        <f>Tableau4[[#This Row],[Surcoût par appareil ($)]]*Tableau4[[#This Row],[Nombres appareils installés]]</f>
        <v>5935.4</v>
      </c>
      <c r="L106" s="191">
        <v>1700</v>
      </c>
      <c r="M106" s="189">
        <f t="shared" si="3"/>
        <v>2200</v>
      </c>
      <c r="N106" s="189">
        <f>Tableau4[[#This Row],[AF 0 ($)]]/Tableau4[[#This Row],[Nombres appareils installés]]</f>
        <v>2200</v>
      </c>
      <c r="O106" s="192">
        <f>(Tableau4[[#This Row],[AF accordée ($)]])/($J$6*D106)</f>
        <v>0.42463905680171854</v>
      </c>
      <c r="P106" s="192">
        <f>Tableau4[[#This Row],[Couverture 0 (%)]]*Tableau4[[#This Row],[Nombres appareils installés]]</f>
        <v>0.42463905680171854</v>
      </c>
      <c r="Q106" s="189">
        <f>($Q$4+$R$4*(Tableau4[[#This Row],[Capacité (BTU)]]/1000))*Tableau4[[#This Row],[Nombres appareils installés]]</f>
        <v>3300</v>
      </c>
      <c r="R106" s="189">
        <f>Tableau4[[#This Row],[AF 1 ($)]]/Tableau4[[#This Row],[Nombres appareils installés]]</f>
        <v>3300</v>
      </c>
      <c r="S106" s="192">
        <f>Tableau4[[#This Row],[AF 1 ($)]]/(J106*D106)</f>
        <v>0.55598611719513436</v>
      </c>
      <c r="T106" s="192">
        <f>Tableau4[[#This Row],[Couverture 1 (%)]]*Tableau4[[#This Row],[Nombres appareils installés]]</f>
        <v>0.55598611719513436</v>
      </c>
      <c r="U106" s="189">
        <f>($U$4+($V$4*(Tableau4[[#This Row],[Capacité (BTU)]]/1000)))*Tableau4[[#This Row],[Nombres appareils installés]]</f>
        <v>3950</v>
      </c>
      <c r="V106" s="189">
        <f>Tableau4[[#This Row],[AF 2 ($)]]/Tableau4[[#This Row],[Nombres appareils installés]]</f>
        <v>3950</v>
      </c>
      <c r="W106" s="193">
        <f>Tableau4[[#This Row],[AF 2 par appareil ($)]]/Tableau4[[#This Row],[Surcoût par appareil ($)]]</f>
        <v>0.66549853421841831</v>
      </c>
      <c r="X106" s="193">
        <f>Tableau4[[#This Row],[Couverture 2 (%)]]*Tableau4[[#This Row],[Nombres appareils installés]]</f>
        <v>0.66549853421841831</v>
      </c>
      <c r="Y106" s="189">
        <f>($Y$4+$Z$4*(Tableau4[[#This Row],[Capacité (BTU)]]/1000))*Tableau4[[#This Row],[Nombres appareils installés]]</f>
        <v>3800</v>
      </c>
      <c r="Z106" s="189">
        <f>Tableau4[[#This Row],[AF 3 ($)]]/Tableau4[[#This Row],[Nombres appareils installés]]</f>
        <v>3800</v>
      </c>
      <c r="AA106" s="194">
        <f>Tableau4[[#This Row],[AF 3 par appareil ($)]]/Tableau4[[#This Row],[Surcoût par appareil ($)]]</f>
        <v>0.64022643798227585</v>
      </c>
      <c r="AB106" s="194">
        <f>Tableau4[[#This Row],[Couverture 3 (%)]]*Tableau4[[#This Row],[Nombres appareils installés]]</f>
        <v>0.64022643798227585</v>
      </c>
      <c r="AC106" s="189">
        <f>($AC$4+$AD$4*(Tableau4[[#This Row],[Capacité (BTU)]]/1000))*Tableau4[[#This Row],[Nombres appareils installés]]</f>
        <v>3240</v>
      </c>
      <c r="AD106" s="189">
        <f>Tableau4[[#This Row],[AF 4 ($)]]/Tableau4[[#This Row],[Nombres appareils installés]]</f>
        <v>3240</v>
      </c>
      <c r="AE106" s="195">
        <f>Tableau4[[#This Row],[Couverture 4 (%)]]*Tableau4[[#This Row],[Nombres appareils installés]]</f>
        <v>0.54587727870067737</v>
      </c>
      <c r="AF106" s="194">
        <f>Tableau4[[#This Row],[AF 4 par appareil  ($)]]/Tableau4[[#This Row],[Surcoût par appareil ($)]]</f>
        <v>0.54587727870067737</v>
      </c>
    </row>
    <row r="107" spans="2:32" x14ac:dyDescent="0.3">
      <c r="B107" s="196" t="s">
        <v>235</v>
      </c>
      <c r="C107" s="189" t="s">
        <v>277</v>
      </c>
      <c r="D107" s="189">
        <v>2</v>
      </c>
      <c r="E107" s="189">
        <v>260000</v>
      </c>
      <c r="F107" s="197">
        <f>Tableau4[[#This Row],[Economies totales (m3)]]/Tableau4[[#This Row],[Nombres appareils installés]]</f>
        <v>1313</v>
      </c>
      <c r="G107" s="191">
        <v>2626</v>
      </c>
      <c r="H107" s="189">
        <f t="shared" si="2"/>
        <v>3535.3999999999996</v>
      </c>
      <c r="I107" s="189">
        <v>2400</v>
      </c>
      <c r="J107" s="189">
        <f>Tableau4[[#This Row],[Surcoût moyens de l''équipement ($)]]+Tableau4[[#This Row],[Surcoût moyen de l''installation ($)]]</f>
        <v>5935.4</v>
      </c>
      <c r="K107" s="189">
        <f>Tableau4[[#This Row],[Surcoût par appareil ($)]]*Tableau4[[#This Row],[Nombres appareils installés]]</f>
        <v>11870.8</v>
      </c>
      <c r="L107" s="191">
        <v>3400</v>
      </c>
      <c r="M107" s="189">
        <f t="shared" si="3"/>
        <v>4400</v>
      </c>
      <c r="N107" s="189">
        <f>Tableau4[[#This Row],[AF 0 ($)]]/Tableau4[[#This Row],[Nombres appareils installés]]</f>
        <v>2200</v>
      </c>
      <c r="O107" s="192">
        <f>(Tableau4[[#This Row],[AF accordée ($)]])/($J$6*D107)</f>
        <v>0.42463905680171854</v>
      </c>
      <c r="P107" s="192">
        <f>Tableau4[[#This Row],[Couverture 0 (%)]]*Tableau4[[#This Row],[Nombres appareils installés]]</f>
        <v>0.84927811360343708</v>
      </c>
      <c r="Q107" s="189">
        <f>($Q$4+$R$4*(Tableau4[[#This Row],[Capacité (BTU)]]/1000))*Tableau4[[#This Row],[Nombres appareils installés]]</f>
        <v>6600</v>
      </c>
      <c r="R107" s="189">
        <f>Tableau4[[#This Row],[AF 1 ($)]]/Tableau4[[#This Row],[Nombres appareils installés]]</f>
        <v>3300</v>
      </c>
      <c r="S107" s="192">
        <f>Tableau4[[#This Row],[AF 1 ($)]]/(J107*D107)</f>
        <v>0.55598611719513436</v>
      </c>
      <c r="T107" s="192">
        <f>Tableau4[[#This Row],[Couverture 1 (%)]]*Tableau4[[#This Row],[Nombres appareils installés]]</f>
        <v>1.1119722343902687</v>
      </c>
      <c r="U107" s="189">
        <f>($U$4+($V$4*(Tableau4[[#This Row],[Capacité (BTU)]]/1000)))*Tableau4[[#This Row],[Nombres appareils installés]]</f>
        <v>7900</v>
      </c>
      <c r="V107" s="189">
        <f>Tableau4[[#This Row],[AF 2 ($)]]/Tableau4[[#This Row],[Nombres appareils installés]]</f>
        <v>3950</v>
      </c>
      <c r="W107" s="193">
        <f>Tableau4[[#This Row],[AF 2 par appareil ($)]]/Tableau4[[#This Row],[Surcoût par appareil ($)]]</f>
        <v>0.66549853421841831</v>
      </c>
      <c r="X107" s="193">
        <f>Tableau4[[#This Row],[Couverture 2 (%)]]*Tableau4[[#This Row],[Nombres appareils installés]]</f>
        <v>1.3309970684368366</v>
      </c>
      <c r="Y107" s="189">
        <f>($Y$4+$Z$4*(Tableau4[[#This Row],[Capacité (BTU)]]/1000))*Tableau4[[#This Row],[Nombres appareils installés]]</f>
        <v>7600</v>
      </c>
      <c r="Z107" s="189">
        <f>Tableau4[[#This Row],[AF 3 ($)]]/Tableau4[[#This Row],[Nombres appareils installés]]</f>
        <v>3800</v>
      </c>
      <c r="AA107" s="194">
        <f>Tableau4[[#This Row],[AF 3 par appareil ($)]]/Tableau4[[#This Row],[Surcoût par appareil ($)]]</f>
        <v>0.64022643798227585</v>
      </c>
      <c r="AB107" s="194">
        <f>Tableau4[[#This Row],[Couverture 3 (%)]]*Tableau4[[#This Row],[Nombres appareils installés]]</f>
        <v>1.2804528759645517</v>
      </c>
      <c r="AC107" s="189">
        <f>($AC$4+$AD$4*(Tableau4[[#This Row],[Capacité (BTU)]]/1000))*Tableau4[[#This Row],[Nombres appareils installés]]</f>
        <v>6480</v>
      </c>
      <c r="AD107" s="189">
        <f>Tableau4[[#This Row],[AF 4 ($)]]/Tableau4[[#This Row],[Nombres appareils installés]]</f>
        <v>3240</v>
      </c>
      <c r="AE107" s="195">
        <f>Tableau4[[#This Row],[Couverture 4 (%)]]*Tableau4[[#This Row],[Nombres appareils installés]]</f>
        <v>1.0917545574013547</v>
      </c>
      <c r="AF107" s="194">
        <f>Tableau4[[#This Row],[AF 4 par appareil  ($)]]/Tableau4[[#This Row],[Surcoût par appareil ($)]]</f>
        <v>0.54587727870067737</v>
      </c>
    </row>
    <row r="108" spans="2:32" x14ac:dyDescent="0.3">
      <c r="B108" s="196" t="s">
        <v>235</v>
      </c>
      <c r="C108" s="189" t="s">
        <v>278</v>
      </c>
      <c r="D108" s="189">
        <v>4</v>
      </c>
      <c r="E108" s="189">
        <v>260000</v>
      </c>
      <c r="F108" s="197">
        <f>Tableau4[[#This Row],[Economies totales (m3)]]/Tableau4[[#This Row],[Nombres appareils installés]]</f>
        <v>1313</v>
      </c>
      <c r="G108" s="191">
        <v>5252</v>
      </c>
      <c r="H108" s="189">
        <f t="shared" si="2"/>
        <v>3535.3999999999996</v>
      </c>
      <c r="I108" s="189">
        <v>2400</v>
      </c>
      <c r="J108" s="189">
        <f>Tableau4[[#This Row],[Surcoût moyens de l''équipement ($)]]+Tableau4[[#This Row],[Surcoût moyen de l''installation ($)]]</f>
        <v>5935.4</v>
      </c>
      <c r="K108" s="189">
        <f>Tableau4[[#This Row],[Surcoût par appareil ($)]]*Tableau4[[#This Row],[Nombres appareils installés]]</f>
        <v>23741.599999999999</v>
      </c>
      <c r="L108" s="191">
        <v>6800</v>
      </c>
      <c r="M108" s="189">
        <f t="shared" si="3"/>
        <v>8800</v>
      </c>
      <c r="N108" s="189">
        <f>Tableau4[[#This Row],[AF 0 ($)]]/Tableau4[[#This Row],[Nombres appareils installés]]</f>
        <v>2200</v>
      </c>
      <c r="O108" s="192">
        <f>(Tableau4[[#This Row],[AF accordée ($)]])/($J$6*D108)</f>
        <v>0.42463905680171854</v>
      </c>
      <c r="P108" s="192">
        <f>Tableau4[[#This Row],[Couverture 0 (%)]]*Tableau4[[#This Row],[Nombres appareils installés]]</f>
        <v>1.6985562272068742</v>
      </c>
      <c r="Q108" s="189">
        <f>($Q$4+$R$4*(Tableau4[[#This Row],[Capacité (BTU)]]/1000))*Tableau4[[#This Row],[Nombres appareils installés]]</f>
        <v>13200</v>
      </c>
      <c r="R108" s="189">
        <f>Tableau4[[#This Row],[AF 1 ($)]]/Tableau4[[#This Row],[Nombres appareils installés]]</f>
        <v>3300</v>
      </c>
      <c r="S108" s="192">
        <f>Tableau4[[#This Row],[AF 1 ($)]]/(J108*D108)</f>
        <v>0.55598611719513436</v>
      </c>
      <c r="T108" s="192">
        <f>Tableau4[[#This Row],[Couverture 1 (%)]]*Tableau4[[#This Row],[Nombres appareils installés]]</f>
        <v>2.2239444687805374</v>
      </c>
      <c r="U108" s="189">
        <f>($U$4+($V$4*(Tableau4[[#This Row],[Capacité (BTU)]]/1000)))*Tableau4[[#This Row],[Nombres appareils installés]]</f>
        <v>15800</v>
      </c>
      <c r="V108" s="189">
        <f>Tableau4[[#This Row],[AF 2 ($)]]/Tableau4[[#This Row],[Nombres appareils installés]]</f>
        <v>3950</v>
      </c>
      <c r="W108" s="193">
        <f>Tableau4[[#This Row],[AF 2 par appareil ($)]]/Tableau4[[#This Row],[Surcoût par appareil ($)]]</f>
        <v>0.66549853421841831</v>
      </c>
      <c r="X108" s="193">
        <f>Tableau4[[#This Row],[Couverture 2 (%)]]*Tableau4[[#This Row],[Nombres appareils installés]]</f>
        <v>2.6619941368736733</v>
      </c>
      <c r="Y108" s="189">
        <f>($Y$4+$Z$4*(Tableau4[[#This Row],[Capacité (BTU)]]/1000))*Tableau4[[#This Row],[Nombres appareils installés]]</f>
        <v>15200</v>
      </c>
      <c r="Z108" s="189">
        <f>Tableau4[[#This Row],[AF 3 ($)]]/Tableau4[[#This Row],[Nombres appareils installés]]</f>
        <v>3800</v>
      </c>
      <c r="AA108" s="194">
        <f>Tableau4[[#This Row],[AF 3 par appareil ($)]]/Tableau4[[#This Row],[Surcoût par appareil ($)]]</f>
        <v>0.64022643798227585</v>
      </c>
      <c r="AB108" s="194">
        <f>Tableau4[[#This Row],[Couverture 3 (%)]]*Tableau4[[#This Row],[Nombres appareils installés]]</f>
        <v>2.5609057519291034</v>
      </c>
      <c r="AC108" s="189">
        <f>($AC$4+$AD$4*(Tableau4[[#This Row],[Capacité (BTU)]]/1000))*Tableau4[[#This Row],[Nombres appareils installés]]</f>
        <v>12960</v>
      </c>
      <c r="AD108" s="189">
        <f>Tableau4[[#This Row],[AF 4 ($)]]/Tableau4[[#This Row],[Nombres appareils installés]]</f>
        <v>3240</v>
      </c>
      <c r="AE108" s="195">
        <f>Tableau4[[#This Row],[Couverture 4 (%)]]*Tableau4[[#This Row],[Nombres appareils installés]]</f>
        <v>2.1835091148027095</v>
      </c>
      <c r="AF108" s="194">
        <f>Tableau4[[#This Row],[AF 4 par appareil  ($)]]/Tableau4[[#This Row],[Surcoût par appareil ($)]]</f>
        <v>0.54587727870067737</v>
      </c>
    </row>
    <row r="109" spans="2:32" x14ac:dyDescent="0.3">
      <c r="B109" s="196" t="s">
        <v>235</v>
      </c>
      <c r="C109" s="189" t="s">
        <v>279</v>
      </c>
      <c r="D109" s="189">
        <v>1</v>
      </c>
      <c r="E109" s="189">
        <v>310000</v>
      </c>
      <c r="F109" s="197">
        <f>Tableau4[[#This Row],[Economies totales (m3)]]/Tableau4[[#This Row],[Nombres appareils installés]]</f>
        <v>1565.5</v>
      </c>
      <c r="G109" s="191">
        <v>1565.5</v>
      </c>
      <c r="H109" s="189">
        <f t="shared" si="2"/>
        <v>4385.3999999999996</v>
      </c>
      <c r="I109" s="189">
        <v>2400</v>
      </c>
      <c r="J109" s="189">
        <f>Tableau4[[#This Row],[Surcoût moyens de l''équipement ($)]]+Tableau4[[#This Row],[Surcoût moyen de l''installation ($)]]</f>
        <v>6785.4</v>
      </c>
      <c r="K109" s="189">
        <f>Tableau4[[#This Row],[Surcoût par appareil ($)]]*Tableau4[[#This Row],[Nombres appareils installés]]</f>
        <v>6785.4</v>
      </c>
      <c r="L109" s="191">
        <v>1700</v>
      </c>
      <c r="M109" s="189">
        <f t="shared" si="3"/>
        <v>2450</v>
      </c>
      <c r="N109" s="189">
        <f>Tableau4[[#This Row],[AF 0 ($)]]/Tableau4[[#This Row],[Nombres appareils installés]]</f>
        <v>2450</v>
      </c>
      <c r="O109" s="192">
        <f>(Tableau4[[#This Row],[AF accordée ($)]])/($J$6*D109)</f>
        <v>0.42463905680171854</v>
      </c>
      <c r="P109" s="192">
        <f>Tableau4[[#This Row],[Couverture 0 (%)]]*Tableau4[[#This Row],[Nombres appareils installés]]</f>
        <v>0.42463905680171854</v>
      </c>
      <c r="Q109" s="189">
        <f>($Q$4+$R$4*(Tableau4[[#This Row],[Capacité (BTU)]]/1000))*Tableau4[[#This Row],[Nombres appareils installés]]</f>
        <v>3550</v>
      </c>
      <c r="R109" s="189">
        <f>Tableau4[[#This Row],[AF 1 ($)]]/Tableau4[[#This Row],[Nombres appareils installés]]</f>
        <v>3550</v>
      </c>
      <c r="S109" s="192">
        <f>Tableau4[[#This Row],[AF 1 ($)]]/(J109*D109)</f>
        <v>0.52318212633006167</v>
      </c>
      <c r="T109" s="192">
        <f>Tableau4[[#This Row],[Couverture 1 (%)]]*Tableau4[[#This Row],[Nombres appareils installés]]</f>
        <v>0.52318212633006167</v>
      </c>
      <c r="U109" s="189">
        <f>($U$4+($V$4*(Tableau4[[#This Row],[Capacité (BTU)]]/1000)))*Tableau4[[#This Row],[Nombres appareils installés]]</f>
        <v>4325</v>
      </c>
      <c r="V109" s="189">
        <f>Tableau4[[#This Row],[AF 2 ($)]]/Tableau4[[#This Row],[Nombres appareils installés]]</f>
        <v>4325</v>
      </c>
      <c r="W109" s="193">
        <f>Tableau4[[#This Row],[AF 2 par appareil ($)]]/Tableau4[[#This Row],[Surcoût par appareil ($)]]</f>
        <v>0.63739794264155392</v>
      </c>
      <c r="X109" s="193">
        <f>Tableau4[[#This Row],[Couverture 2 (%)]]*Tableau4[[#This Row],[Nombres appareils installés]]</f>
        <v>0.63739794264155392</v>
      </c>
      <c r="Y109" s="189">
        <f>($Y$4+$Z$4*(Tableau4[[#This Row],[Capacité (BTU)]]/1000))*Tableau4[[#This Row],[Nombres appareils installés]]</f>
        <v>4050</v>
      </c>
      <c r="Z109" s="189">
        <f>Tableau4[[#This Row],[AF 3 ($)]]/Tableau4[[#This Row],[Nombres appareils installés]]</f>
        <v>4050</v>
      </c>
      <c r="AA109" s="194">
        <f>Tableau4[[#This Row],[AF 3 par appareil ($)]]/Tableau4[[#This Row],[Surcoût par appareil ($)]]</f>
        <v>0.59686974975683083</v>
      </c>
      <c r="AB109" s="194">
        <f>Tableau4[[#This Row],[Couverture 3 (%)]]*Tableau4[[#This Row],[Nombres appareils installés]]</f>
        <v>0.59686974975683083</v>
      </c>
      <c r="AC109" s="189">
        <f>($AC$4+$AD$4*(Tableau4[[#This Row],[Capacité (BTU)]]/1000))*Tableau4[[#This Row],[Nombres appareils installés]]</f>
        <v>3440</v>
      </c>
      <c r="AD109" s="189">
        <f>Tableau4[[#This Row],[AF 4 ($)]]/Tableau4[[#This Row],[Nombres appareils installés]]</f>
        <v>3440</v>
      </c>
      <c r="AE109" s="195">
        <f>Tableau4[[#This Row],[Couverture 4 (%)]]*Tableau4[[#This Row],[Nombres appareils installés]]</f>
        <v>0.50697084917617241</v>
      </c>
      <c r="AF109" s="194">
        <f>Tableau4[[#This Row],[AF 4 par appareil  ($)]]/Tableau4[[#This Row],[Surcoût par appareil ($)]]</f>
        <v>0.50697084917617241</v>
      </c>
    </row>
    <row r="110" spans="2:32" x14ac:dyDescent="0.3">
      <c r="B110" s="196" t="s">
        <v>235</v>
      </c>
      <c r="C110" s="189" t="s">
        <v>280</v>
      </c>
      <c r="D110" s="189">
        <v>1</v>
      </c>
      <c r="E110" s="189">
        <v>310000</v>
      </c>
      <c r="F110" s="197">
        <f>Tableau4[[#This Row],[Economies totales (m3)]]/Tableau4[[#This Row],[Nombres appareils installés]]</f>
        <v>1565.5</v>
      </c>
      <c r="G110" s="191">
        <v>1565.5</v>
      </c>
      <c r="H110" s="189">
        <f t="shared" si="2"/>
        <v>4385.3999999999996</v>
      </c>
      <c r="I110" s="189">
        <v>2400</v>
      </c>
      <c r="J110" s="189">
        <f>Tableau4[[#This Row],[Surcoût moyens de l''équipement ($)]]+Tableau4[[#This Row],[Surcoût moyen de l''installation ($)]]</f>
        <v>6785.4</v>
      </c>
      <c r="K110" s="189">
        <f>Tableau4[[#This Row],[Surcoût par appareil ($)]]*Tableau4[[#This Row],[Nombres appareils installés]]</f>
        <v>6785.4</v>
      </c>
      <c r="L110" s="191">
        <v>1700</v>
      </c>
      <c r="M110" s="189">
        <f t="shared" si="3"/>
        <v>2450</v>
      </c>
      <c r="N110" s="189">
        <f>Tableau4[[#This Row],[AF 0 ($)]]/Tableau4[[#This Row],[Nombres appareils installés]]</f>
        <v>2450</v>
      </c>
      <c r="O110" s="192">
        <f>(Tableau4[[#This Row],[AF accordée ($)]])/($J$6*D110)</f>
        <v>0.42463905680171854</v>
      </c>
      <c r="P110" s="192">
        <f>Tableau4[[#This Row],[Couverture 0 (%)]]*Tableau4[[#This Row],[Nombres appareils installés]]</f>
        <v>0.42463905680171854</v>
      </c>
      <c r="Q110" s="189">
        <f>($Q$4+$R$4*(Tableau4[[#This Row],[Capacité (BTU)]]/1000))*Tableau4[[#This Row],[Nombres appareils installés]]</f>
        <v>3550</v>
      </c>
      <c r="R110" s="189">
        <f>Tableau4[[#This Row],[AF 1 ($)]]/Tableau4[[#This Row],[Nombres appareils installés]]</f>
        <v>3550</v>
      </c>
      <c r="S110" s="192">
        <f>Tableau4[[#This Row],[AF 1 ($)]]/(J110*D110)</f>
        <v>0.52318212633006167</v>
      </c>
      <c r="T110" s="192">
        <f>Tableau4[[#This Row],[Couverture 1 (%)]]*Tableau4[[#This Row],[Nombres appareils installés]]</f>
        <v>0.52318212633006167</v>
      </c>
      <c r="U110" s="189">
        <f>($U$4+($V$4*(Tableau4[[#This Row],[Capacité (BTU)]]/1000)))*Tableau4[[#This Row],[Nombres appareils installés]]</f>
        <v>4325</v>
      </c>
      <c r="V110" s="189">
        <f>Tableau4[[#This Row],[AF 2 ($)]]/Tableau4[[#This Row],[Nombres appareils installés]]</f>
        <v>4325</v>
      </c>
      <c r="W110" s="193">
        <f>Tableau4[[#This Row],[AF 2 par appareil ($)]]/Tableau4[[#This Row],[Surcoût par appareil ($)]]</f>
        <v>0.63739794264155392</v>
      </c>
      <c r="X110" s="193">
        <f>Tableau4[[#This Row],[Couverture 2 (%)]]*Tableau4[[#This Row],[Nombres appareils installés]]</f>
        <v>0.63739794264155392</v>
      </c>
      <c r="Y110" s="189">
        <f>($Y$4+$Z$4*(Tableau4[[#This Row],[Capacité (BTU)]]/1000))*Tableau4[[#This Row],[Nombres appareils installés]]</f>
        <v>4050</v>
      </c>
      <c r="Z110" s="189">
        <f>Tableau4[[#This Row],[AF 3 ($)]]/Tableau4[[#This Row],[Nombres appareils installés]]</f>
        <v>4050</v>
      </c>
      <c r="AA110" s="194">
        <f>Tableau4[[#This Row],[AF 3 par appareil ($)]]/Tableau4[[#This Row],[Surcoût par appareil ($)]]</f>
        <v>0.59686974975683083</v>
      </c>
      <c r="AB110" s="194">
        <f>Tableau4[[#This Row],[Couverture 3 (%)]]*Tableau4[[#This Row],[Nombres appareils installés]]</f>
        <v>0.59686974975683083</v>
      </c>
      <c r="AC110" s="189">
        <f>($AC$4+$AD$4*(Tableau4[[#This Row],[Capacité (BTU)]]/1000))*Tableau4[[#This Row],[Nombres appareils installés]]</f>
        <v>3440</v>
      </c>
      <c r="AD110" s="189">
        <f>Tableau4[[#This Row],[AF 4 ($)]]/Tableau4[[#This Row],[Nombres appareils installés]]</f>
        <v>3440</v>
      </c>
      <c r="AE110" s="195">
        <f>Tableau4[[#This Row],[Couverture 4 (%)]]*Tableau4[[#This Row],[Nombres appareils installés]]</f>
        <v>0.50697084917617241</v>
      </c>
      <c r="AF110" s="194">
        <f>Tableau4[[#This Row],[AF 4 par appareil  ($)]]/Tableau4[[#This Row],[Surcoût par appareil ($)]]</f>
        <v>0.50697084917617241</v>
      </c>
    </row>
    <row r="111" spans="2:32" x14ac:dyDescent="0.3">
      <c r="B111" s="196" t="s">
        <v>235</v>
      </c>
      <c r="C111" s="189" t="s">
        <v>281</v>
      </c>
      <c r="D111" s="189">
        <v>2</v>
      </c>
      <c r="E111" s="189">
        <v>310000</v>
      </c>
      <c r="F111" s="197">
        <f>Tableau4[[#This Row],[Economies totales (m3)]]/Tableau4[[#This Row],[Nombres appareils installés]]</f>
        <v>1565.5</v>
      </c>
      <c r="G111" s="191">
        <v>3131</v>
      </c>
      <c r="H111" s="189">
        <f t="shared" si="2"/>
        <v>4385.3999999999996</v>
      </c>
      <c r="I111" s="189">
        <v>2400</v>
      </c>
      <c r="J111" s="189">
        <f>Tableau4[[#This Row],[Surcoût moyens de l''équipement ($)]]+Tableau4[[#This Row],[Surcoût moyen de l''installation ($)]]</f>
        <v>6785.4</v>
      </c>
      <c r="K111" s="189">
        <f>Tableau4[[#This Row],[Surcoût par appareil ($)]]*Tableau4[[#This Row],[Nombres appareils installés]]</f>
        <v>13570.8</v>
      </c>
      <c r="L111" s="191">
        <v>3400</v>
      </c>
      <c r="M111" s="189">
        <f t="shared" si="3"/>
        <v>4900</v>
      </c>
      <c r="N111" s="189">
        <f>Tableau4[[#This Row],[AF 0 ($)]]/Tableau4[[#This Row],[Nombres appareils installés]]</f>
        <v>2450</v>
      </c>
      <c r="O111" s="192">
        <f>(Tableau4[[#This Row],[AF accordée ($)]])/($J$6*D111)</f>
        <v>0.42463905680171854</v>
      </c>
      <c r="P111" s="192">
        <f>Tableau4[[#This Row],[Couverture 0 (%)]]*Tableau4[[#This Row],[Nombres appareils installés]]</f>
        <v>0.84927811360343708</v>
      </c>
      <c r="Q111" s="189">
        <f>($Q$4+$R$4*(Tableau4[[#This Row],[Capacité (BTU)]]/1000))*Tableau4[[#This Row],[Nombres appareils installés]]</f>
        <v>7100</v>
      </c>
      <c r="R111" s="189">
        <f>Tableau4[[#This Row],[AF 1 ($)]]/Tableau4[[#This Row],[Nombres appareils installés]]</f>
        <v>3550</v>
      </c>
      <c r="S111" s="192">
        <f>Tableau4[[#This Row],[AF 1 ($)]]/(J111*D111)</f>
        <v>0.52318212633006167</v>
      </c>
      <c r="T111" s="192">
        <f>Tableau4[[#This Row],[Couverture 1 (%)]]*Tableau4[[#This Row],[Nombres appareils installés]]</f>
        <v>1.0463642526601233</v>
      </c>
      <c r="U111" s="189">
        <f>($U$4+($V$4*(Tableau4[[#This Row],[Capacité (BTU)]]/1000)))*Tableau4[[#This Row],[Nombres appareils installés]]</f>
        <v>8650</v>
      </c>
      <c r="V111" s="189">
        <f>Tableau4[[#This Row],[AF 2 ($)]]/Tableau4[[#This Row],[Nombres appareils installés]]</f>
        <v>4325</v>
      </c>
      <c r="W111" s="193">
        <f>Tableau4[[#This Row],[AF 2 par appareil ($)]]/Tableau4[[#This Row],[Surcoût par appareil ($)]]</f>
        <v>0.63739794264155392</v>
      </c>
      <c r="X111" s="193">
        <f>Tableau4[[#This Row],[Couverture 2 (%)]]*Tableau4[[#This Row],[Nombres appareils installés]]</f>
        <v>1.2747958852831078</v>
      </c>
      <c r="Y111" s="189">
        <f>($Y$4+$Z$4*(Tableau4[[#This Row],[Capacité (BTU)]]/1000))*Tableau4[[#This Row],[Nombres appareils installés]]</f>
        <v>8100</v>
      </c>
      <c r="Z111" s="189">
        <f>Tableau4[[#This Row],[AF 3 ($)]]/Tableau4[[#This Row],[Nombres appareils installés]]</f>
        <v>4050</v>
      </c>
      <c r="AA111" s="194">
        <f>Tableau4[[#This Row],[AF 3 par appareil ($)]]/Tableau4[[#This Row],[Surcoût par appareil ($)]]</f>
        <v>0.59686974975683083</v>
      </c>
      <c r="AB111" s="194">
        <f>Tableau4[[#This Row],[Couverture 3 (%)]]*Tableau4[[#This Row],[Nombres appareils installés]]</f>
        <v>1.1937394995136617</v>
      </c>
      <c r="AC111" s="189">
        <f>($AC$4+$AD$4*(Tableau4[[#This Row],[Capacité (BTU)]]/1000))*Tableau4[[#This Row],[Nombres appareils installés]]</f>
        <v>6880</v>
      </c>
      <c r="AD111" s="189">
        <f>Tableau4[[#This Row],[AF 4 ($)]]/Tableau4[[#This Row],[Nombres appareils installés]]</f>
        <v>3440</v>
      </c>
      <c r="AE111" s="195">
        <f>Tableau4[[#This Row],[Couverture 4 (%)]]*Tableau4[[#This Row],[Nombres appareils installés]]</f>
        <v>1.0139416983523448</v>
      </c>
      <c r="AF111" s="194">
        <f>Tableau4[[#This Row],[AF 4 par appareil  ($)]]/Tableau4[[#This Row],[Surcoût par appareil ($)]]</f>
        <v>0.50697084917617241</v>
      </c>
    </row>
    <row r="112" spans="2:32" x14ac:dyDescent="0.3">
      <c r="B112" s="196" t="s">
        <v>235</v>
      </c>
      <c r="C112" s="189" t="s">
        <v>282</v>
      </c>
      <c r="D112" s="189">
        <v>4</v>
      </c>
      <c r="E112" s="189">
        <v>310000</v>
      </c>
      <c r="F112" s="197">
        <f>Tableau4[[#This Row],[Economies totales (m3)]]/Tableau4[[#This Row],[Nombres appareils installés]]</f>
        <v>1565.5</v>
      </c>
      <c r="G112" s="191">
        <v>6262</v>
      </c>
      <c r="H112" s="189">
        <f t="shared" si="2"/>
        <v>4385.3999999999996</v>
      </c>
      <c r="I112" s="189">
        <v>2400</v>
      </c>
      <c r="J112" s="189">
        <f>Tableau4[[#This Row],[Surcoût moyens de l''équipement ($)]]+Tableau4[[#This Row],[Surcoût moyen de l''installation ($)]]</f>
        <v>6785.4</v>
      </c>
      <c r="K112" s="189">
        <f>Tableau4[[#This Row],[Surcoût par appareil ($)]]*Tableau4[[#This Row],[Nombres appareils installés]]</f>
        <v>27141.599999999999</v>
      </c>
      <c r="L112" s="191">
        <v>6800</v>
      </c>
      <c r="M112" s="189">
        <f t="shared" si="3"/>
        <v>9800</v>
      </c>
      <c r="N112" s="189">
        <f>Tableau4[[#This Row],[AF 0 ($)]]/Tableau4[[#This Row],[Nombres appareils installés]]</f>
        <v>2450</v>
      </c>
      <c r="O112" s="192">
        <f>(Tableau4[[#This Row],[AF accordée ($)]])/($J$6*D112)</f>
        <v>0.42463905680171854</v>
      </c>
      <c r="P112" s="192">
        <f>Tableau4[[#This Row],[Couverture 0 (%)]]*Tableau4[[#This Row],[Nombres appareils installés]]</f>
        <v>1.6985562272068742</v>
      </c>
      <c r="Q112" s="189">
        <f>($Q$4+$R$4*(Tableau4[[#This Row],[Capacité (BTU)]]/1000))*Tableau4[[#This Row],[Nombres appareils installés]]</f>
        <v>14200</v>
      </c>
      <c r="R112" s="189">
        <f>Tableau4[[#This Row],[AF 1 ($)]]/Tableau4[[#This Row],[Nombres appareils installés]]</f>
        <v>3550</v>
      </c>
      <c r="S112" s="192">
        <f>Tableau4[[#This Row],[AF 1 ($)]]/(J112*D112)</f>
        <v>0.52318212633006167</v>
      </c>
      <c r="T112" s="192">
        <f>Tableau4[[#This Row],[Couverture 1 (%)]]*Tableau4[[#This Row],[Nombres appareils installés]]</f>
        <v>2.0927285053202467</v>
      </c>
      <c r="U112" s="189">
        <f>($U$4+($V$4*(Tableau4[[#This Row],[Capacité (BTU)]]/1000)))*Tableau4[[#This Row],[Nombres appareils installés]]</f>
        <v>17300</v>
      </c>
      <c r="V112" s="189">
        <f>Tableau4[[#This Row],[AF 2 ($)]]/Tableau4[[#This Row],[Nombres appareils installés]]</f>
        <v>4325</v>
      </c>
      <c r="W112" s="193">
        <f>Tableau4[[#This Row],[AF 2 par appareil ($)]]/Tableau4[[#This Row],[Surcoût par appareil ($)]]</f>
        <v>0.63739794264155392</v>
      </c>
      <c r="X112" s="193">
        <f>Tableau4[[#This Row],[Couverture 2 (%)]]*Tableau4[[#This Row],[Nombres appareils installés]]</f>
        <v>2.5495917705662157</v>
      </c>
      <c r="Y112" s="189">
        <f>($Y$4+$Z$4*(Tableau4[[#This Row],[Capacité (BTU)]]/1000))*Tableau4[[#This Row],[Nombres appareils installés]]</f>
        <v>16200</v>
      </c>
      <c r="Z112" s="189">
        <f>Tableau4[[#This Row],[AF 3 ($)]]/Tableau4[[#This Row],[Nombres appareils installés]]</f>
        <v>4050</v>
      </c>
      <c r="AA112" s="194">
        <f>Tableau4[[#This Row],[AF 3 par appareil ($)]]/Tableau4[[#This Row],[Surcoût par appareil ($)]]</f>
        <v>0.59686974975683083</v>
      </c>
      <c r="AB112" s="194">
        <f>Tableau4[[#This Row],[Couverture 3 (%)]]*Tableau4[[#This Row],[Nombres appareils installés]]</f>
        <v>2.3874789990273233</v>
      </c>
      <c r="AC112" s="189">
        <f>($AC$4+$AD$4*(Tableau4[[#This Row],[Capacité (BTU)]]/1000))*Tableau4[[#This Row],[Nombres appareils installés]]</f>
        <v>13760</v>
      </c>
      <c r="AD112" s="189">
        <f>Tableau4[[#This Row],[AF 4 ($)]]/Tableau4[[#This Row],[Nombres appareils installés]]</f>
        <v>3440</v>
      </c>
      <c r="AE112" s="195">
        <f>Tableau4[[#This Row],[Couverture 4 (%)]]*Tableau4[[#This Row],[Nombres appareils installés]]</f>
        <v>2.0278833967046896</v>
      </c>
      <c r="AF112" s="194">
        <f>Tableau4[[#This Row],[AF 4 par appareil  ($)]]/Tableau4[[#This Row],[Surcoût par appareil ($)]]</f>
        <v>0.50697084917617241</v>
      </c>
    </row>
    <row r="113" spans="2:32" x14ac:dyDescent="0.3">
      <c r="B113" s="196" t="s">
        <v>235</v>
      </c>
      <c r="C113" s="189" t="s">
        <v>216</v>
      </c>
      <c r="D113" s="189">
        <v>8</v>
      </c>
      <c r="E113" s="189">
        <v>310000</v>
      </c>
      <c r="F113" s="197">
        <f>Tableau4[[#This Row],[Economies totales (m3)]]/Tableau4[[#This Row],[Nombres appareils installés]]</f>
        <v>1565.5</v>
      </c>
      <c r="G113" s="191">
        <v>12524</v>
      </c>
      <c r="H113" s="189">
        <f t="shared" si="2"/>
        <v>4385.3999999999996</v>
      </c>
      <c r="I113" s="189">
        <v>2400</v>
      </c>
      <c r="J113" s="189">
        <f>Tableau4[[#This Row],[Surcoût moyens de l''équipement ($)]]+Tableau4[[#This Row],[Surcoût moyen de l''installation ($)]]</f>
        <v>6785.4</v>
      </c>
      <c r="K113" s="189">
        <f>Tableau4[[#This Row],[Surcoût par appareil ($)]]*Tableau4[[#This Row],[Nombres appareils installés]]</f>
        <v>54283.199999999997</v>
      </c>
      <c r="L113" s="191">
        <v>13600</v>
      </c>
      <c r="M113" s="189">
        <f t="shared" si="3"/>
        <v>19600</v>
      </c>
      <c r="N113" s="189">
        <f>Tableau4[[#This Row],[AF 0 ($)]]/Tableau4[[#This Row],[Nombres appareils installés]]</f>
        <v>2450</v>
      </c>
      <c r="O113" s="192">
        <f>(Tableau4[[#This Row],[AF accordée ($)]])/($J$6*D113)</f>
        <v>0.42463905680171854</v>
      </c>
      <c r="P113" s="192">
        <f>Tableau4[[#This Row],[Couverture 0 (%)]]*Tableau4[[#This Row],[Nombres appareils installés]]</f>
        <v>3.3971124544137483</v>
      </c>
      <c r="Q113" s="189">
        <f>($Q$4+$R$4*(Tableau4[[#This Row],[Capacité (BTU)]]/1000))*Tableau4[[#This Row],[Nombres appareils installés]]</f>
        <v>28400</v>
      </c>
      <c r="R113" s="189">
        <f>Tableau4[[#This Row],[AF 1 ($)]]/Tableau4[[#This Row],[Nombres appareils installés]]</f>
        <v>3550</v>
      </c>
      <c r="S113" s="192">
        <f>Tableau4[[#This Row],[AF 1 ($)]]/(J113*D113)</f>
        <v>0.52318212633006167</v>
      </c>
      <c r="T113" s="192">
        <f>Tableau4[[#This Row],[Couverture 1 (%)]]*Tableau4[[#This Row],[Nombres appareils installés]]</f>
        <v>4.1854570106404934</v>
      </c>
      <c r="U113" s="189">
        <f>($U$4+($V$4*(Tableau4[[#This Row],[Capacité (BTU)]]/1000)))*Tableau4[[#This Row],[Nombres appareils installés]]</f>
        <v>34600</v>
      </c>
      <c r="V113" s="189">
        <f>Tableau4[[#This Row],[AF 2 ($)]]/Tableau4[[#This Row],[Nombres appareils installés]]</f>
        <v>4325</v>
      </c>
      <c r="W113" s="193">
        <f>Tableau4[[#This Row],[AF 2 par appareil ($)]]/Tableau4[[#This Row],[Surcoût par appareil ($)]]</f>
        <v>0.63739794264155392</v>
      </c>
      <c r="X113" s="193">
        <f>Tableau4[[#This Row],[Couverture 2 (%)]]*Tableau4[[#This Row],[Nombres appareils installés]]</f>
        <v>5.0991835411324313</v>
      </c>
      <c r="Y113" s="189">
        <f>($Y$4+$Z$4*(Tableau4[[#This Row],[Capacité (BTU)]]/1000))*Tableau4[[#This Row],[Nombres appareils installés]]</f>
        <v>32400</v>
      </c>
      <c r="Z113" s="189">
        <f>Tableau4[[#This Row],[AF 3 ($)]]/Tableau4[[#This Row],[Nombres appareils installés]]</f>
        <v>4050</v>
      </c>
      <c r="AA113" s="194">
        <f>Tableau4[[#This Row],[AF 3 par appareil ($)]]/Tableau4[[#This Row],[Surcoût par appareil ($)]]</f>
        <v>0.59686974975683083</v>
      </c>
      <c r="AB113" s="194">
        <f>Tableau4[[#This Row],[Couverture 3 (%)]]*Tableau4[[#This Row],[Nombres appareils installés]]</f>
        <v>4.7749579980546466</v>
      </c>
      <c r="AC113" s="189">
        <f>($AC$4+$AD$4*(Tableau4[[#This Row],[Capacité (BTU)]]/1000))*Tableau4[[#This Row],[Nombres appareils installés]]</f>
        <v>27520</v>
      </c>
      <c r="AD113" s="189">
        <f>Tableau4[[#This Row],[AF 4 ($)]]/Tableau4[[#This Row],[Nombres appareils installés]]</f>
        <v>3440</v>
      </c>
      <c r="AE113" s="195">
        <f>Tableau4[[#This Row],[Couverture 4 (%)]]*Tableau4[[#This Row],[Nombres appareils installés]]</f>
        <v>4.0557667934093793</v>
      </c>
      <c r="AF113" s="194">
        <f>Tableau4[[#This Row],[AF 4 par appareil  ($)]]/Tableau4[[#This Row],[Surcoût par appareil ($)]]</f>
        <v>0.50697084917617241</v>
      </c>
    </row>
    <row r="114" spans="2:32" x14ac:dyDescent="0.3">
      <c r="B114" s="196" t="s">
        <v>283</v>
      </c>
      <c r="C114" s="189" t="s">
        <v>284</v>
      </c>
      <c r="D114" s="189">
        <v>3</v>
      </c>
      <c r="E114" s="189">
        <v>50000</v>
      </c>
      <c r="F114" s="197">
        <f>Tableau4[[#This Row],[Economies totales (m3)]]/Tableau4[[#This Row],[Nombres appareils installés]]</f>
        <v>252.5</v>
      </c>
      <c r="G114" s="191">
        <v>757.5</v>
      </c>
      <c r="H114" s="189">
        <f t="shared" si="2"/>
        <v>1603.4</v>
      </c>
      <c r="I114" s="189">
        <v>2400</v>
      </c>
      <c r="J114" s="189">
        <f>Tableau4[[#This Row],[Surcoût moyens de l''équipement ($)]]+Tableau4[[#This Row],[Surcoût moyen de l''installation ($)]]</f>
        <v>4003.4</v>
      </c>
      <c r="K114" s="189">
        <f>Tableau4[[#This Row],[Surcoût par appareil ($)]]*Tableau4[[#This Row],[Nombres appareils installés]]</f>
        <v>12010.2</v>
      </c>
      <c r="L114" s="191">
        <v>5100</v>
      </c>
      <c r="M114" s="189">
        <f t="shared" si="3"/>
        <v>3450</v>
      </c>
      <c r="N114" s="189">
        <f>Tableau4[[#This Row],[AF 0 ($)]]/Tableau4[[#This Row],[Nombres appareils installés]]</f>
        <v>1150</v>
      </c>
      <c r="O114" s="192">
        <f>(Tableau4[[#This Row],[AF accordée ($)]])/($J$6*D114)</f>
        <v>0.42463905680171854</v>
      </c>
      <c r="P114" s="192">
        <f>Tableau4[[#This Row],[Couverture 0 (%)]]*Tableau4[[#This Row],[Nombres appareils installés]]</f>
        <v>1.2739171704051557</v>
      </c>
      <c r="Q114" s="189">
        <f>($Q$4+$R$4*(Tableau4[[#This Row],[Capacité (BTU)]]/1000))*Tableau4[[#This Row],[Nombres appareils installés]]</f>
        <v>6750</v>
      </c>
      <c r="R114" s="189">
        <f>Tableau4[[#This Row],[AF 1 ($)]]/Tableau4[[#This Row],[Nombres appareils installés]]</f>
        <v>2250</v>
      </c>
      <c r="S114" s="192">
        <f>Tableau4[[#This Row],[AF 1 ($)]]/(J114*D114)</f>
        <v>0.56202228106109808</v>
      </c>
      <c r="T114" s="192">
        <f>Tableau4[[#This Row],[Couverture 1 (%)]]*Tableau4[[#This Row],[Nombres appareils installés]]</f>
        <v>1.6860668431832941</v>
      </c>
      <c r="U114" s="189">
        <f>($U$4+($V$4*(Tableau4[[#This Row],[Capacité (BTU)]]/1000)))*Tableau4[[#This Row],[Nombres appareils installés]]</f>
        <v>7125</v>
      </c>
      <c r="V114" s="189">
        <f>Tableau4[[#This Row],[AF 2 ($)]]/Tableau4[[#This Row],[Nombres appareils installés]]</f>
        <v>2375</v>
      </c>
      <c r="W114" s="193">
        <f>Tableau4[[#This Row],[AF 2 par appareil ($)]]/Tableau4[[#This Row],[Surcoût par appareil ($)]]</f>
        <v>0.59324574112004791</v>
      </c>
      <c r="X114" s="193">
        <f>Tableau4[[#This Row],[Couverture 2 (%)]]*Tableau4[[#This Row],[Nombres appareils installés]]</f>
        <v>1.7797372233601436</v>
      </c>
      <c r="Y114" s="189">
        <f>($Y$4+$Z$4*(Tableau4[[#This Row],[Capacité (BTU)]]/1000))*Tableau4[[#This Row],[Nombres appareils installés]]</f>
        <v>8250</v>
      </c>
      <c r="Z114" s="189">
        <f>Tableau4[[#This Row],[AF 3 ($)]]/Tableau4[[#This Row],[Nombres appareils installés]]</f>
        <v>2750</v>
      </c>
      <c r="AA114" s="194">
        <f>Tableau4[[#This Row],[AF 3 par appareil ($)]]/Tableau4[[#This Row],[Surcoût par appareil ($)]]</f>
        <v>0.68691612129689761</v>
      </c>
      <c r="AB114" s="194">
        <f>Tableau4[[#This Row],[Couverture 3 (%)]]*Tableau4[[#This Row],[Nombres appareils installés]]</f>
        <v>2.0607483638906929</v>
      </c>
      <c r="AC114" s="189">
        <f>($AC$4+$AD$4*(Tableau4[[#This Row],[Capacité (BTU)]]/1000))*Tableau4[[#This Row],[Nombres appareils installés]]</f>
        <v>7200</v>
      </c>
      <c r="AD114" s="189">
        <f>Tableau4[[#This Row],[AF 4 ($)]]/Tableau4[[#This Row],[Nombres appareils installés]]</f>
        <v>2400</v>
      </c>
      <c r="AE114" s="195">
        <f>Tableau4[[#This Row],[Couverture 4 (%)]]*Tableau4[[#This Row],[Nombres appareils installés]]</f>
        <v>1.7984712993955139</v>
      </c>
      <c r="AF114" s="194">
        <f>Tableau4[[#This Row],[AF 4 par appareil  ($)]]/Tableau4[[#This Row],[Surcoût par appareil ($)]]</f>
        <v>0.59949043313183792</v>
      </c>
    </row>
    <row r="115" spans="2:32" x14ac:dyDescent="0.3">
      <c r="B115" s="196" t="s">
        <v>283</v>
      </c>
      <c r="C115" s="189" t="s">
        <v>285</v>
      </c>
      <c r="D115" s="189">
        <v>1</v>
      </c>
      <c r="E115" s="189">
        <v>55000</v>
      </c>
      <c r="F115" s="197">
        <f>Tableau4[[#This Row],[Economies totales (m3)]]/Tableau4[[#This Row],[Nombres appareils installés]]</f>
        <v>277.75</v>
      </c>
      <c r="G115" s="191">
        <v>277.75</v>
      </c>
      <c r="H115" s="189">
        <f t="shared" si="2"/>
        <v>1618.65</v>
      </c>
      <c r="I115" s="189">
        <v>2400</v>
      </c>
      <c r="J115" s="189">
        <f>Tableau4[[#This Row],[Surcoût moyens de l''équipement ($)]]+Tableau4[[#This Row],[Surcoût moyen de l''installation ($)]]</f>
        <v>4018.65</v>
      </c>
      <c r="K115" s="189">
        <f>Tableau4[[#This Row],[Surcoût par appareil ($)]]*Tableau4[[#This Row],[Nombres appareils installés]]</f>
        <v>4018.65</v>
      </c>
      <c r="L115" s="191">
        <v>1700</v>
      </c>
      <c r="M115" s="189">
        <f t="shared" si="3"/>
        <v>1175</v>
      </c>
      <c r="N115" s="189">
        <f>Tableau4[[#This Row],[AF 0 ($)]]/Tableau4[[#This Row],[Nombres appareils installés]]</f>
        <v>1175</v>
      </c>
      <c r="O115" s="192">
        <f>(Tableau4[[#This Row],[AF accordée ($)]])/($J$6*D115)</f>
        <v>0.42463905680171854</v>
      </c>
      <c r="P115" s="192">
        <f>Tableau4[[#This Row],[Couverture 0 (%)]]*Tableau4[[#This Row],[Nombres appareils installés]]</f>
        <v>0.42463905680171854</v>
      </c>
      <c r="Q115" s="189">
        <f>($Q$4+$R$4*(Tableau4[[#This Row],[Capacité (BTU)]]/1000))*Tableau4[[#This Row],[Nombres appareils installés]]</f>
        <v>2275</v>
      </c>
      <c r="R115" s="189">
        <f>Tableau4[[#This Row],[AF 1 ($)]]/Tableau4[[#This Row],[Nombres appareils installés]]</f>
        <v>2275</v>
      </c>
      <c r="S115" s="192">
        <f>Tableau4[[#This Row],[AF 1 ($)]]/(J115*D115)</f>
        <v>0.56611050974829857</v>
      </c>
      <c r="T115" s="192">
        <f>Tableau4[[#This Row],[Couverture 1 (%)]]*Tableau4[[#This Row],[Nombres appareils installés]]</f>
        <v>0.56611050974829857</v>
      </c>
      <c r="U115" s="189">
        <f>($U$4+($V$4*(Tableau4[[#This Row],[Capacité (BTU)]]/1000)))*Tableau4[[#This Row],[Nombres appareils installés]]</f>
        <v>2412.5</v>
      </c>
      <c r="V115" s="189">
        <f>Tableau4[[#This Row],[AF 2 ($)]]/Tableau4[[#This Row],[Nombres appareils installés]]</f>
        <v>2412.5</v>
      </c>
      <c r="W115" s="193">
        <f>Tableau4[[#This Row],[AF 2 par appareil ($)]]/Tableau4[[#This Row],[Surcoût par appareil ($)]]</f>
        <v>0.60032598011770122</v>
      </c>
      <c r="X115" s="193">
        <f>Tableau4[[#This Row],[Couverture 2 (%)]]*Tableau4[[#This Row],[Nombres appareils installés]]</f>
        <v>0.60032598011770122</v>
      </c>
      <c r="Y115" s="189">
        <f>($Y$4+$Z$4*(Tableau4[[#This Row],[Capacité (BTU)]]/1000))*Tableau4[[#This Row],[Nombres appareils installés]]</f>
        <v>2775</v>
      </c>
      <c r="Z115" s="189">
        <f>Tableau4[[#This Row],[AF 3 ($)]]/Tableau4[[#This Row],[Nombres appareils installés]]</f>
        <v>2775</v>
      </c>
      <c r="AA115" s="194">
        <f>Tableau4[[#This Row],[AF 3 par appareil ($)]]/Tableau4[[#This Row],[Surcoût par appareil ($)]]</f>
        <v>0.69053040200067184</v>
      </c>
      <c r="AB115" s="194">
        <f>Tableau4[[#This Row],[Couverture 3 (%)]]*Tableau4[[#This Row],[Nombres appareils installés]]</f>
        <v>0.69053040200067184</v>
      </c>
      <c r="AC115" s="189">
        <f>($AC$4+$AD$4*(Tableau4[[#This Row],[Capacité (BTU)]]/1000))*Tableau4[[#This Row],[Nombres appareils installés]]</f>
        <v>2420</v>
      </c>
      <c r="AD115" s="189">
        <f>Tableau4[[#This Row],[AF 4 ($)]]/Tableau4[[#This Row],[Nombres appareils installés]]</f>
        <v>2420</v>
      </c>
      <c r="AE115" s="195">
        <f>Tableau4[[#This Row],[Couverture 4 (%)]]*Tableau4[[#This Row],[Nombres appareils installés]]</f>
        <v>0.60219227850148682</v>
      </c>
      <c r="AF115" s="194">
        <f>Tableau4[[#This Row],[AF 4 par appareil  ($)]]/Tableau4[[#This Row],[Surcoût par appareil ($)]]</f>
        <v>0.60219227850148682</v>
      </c>
    </row>
    <row r="116" spans="2:32" x14ac:dyDescent="0.3">
      <c r="B116" s="196" t="s">
        <v>283</v>
      </c>
      <c r="C116" s="189" t="s">
        <v>286</v>
      </c>
      <c r="D116" s="189">
        <v>2</v>
      </c>
      <c r="E116" s="189">
        <v>55000</v>
      </c>
      <c r="F116" s="197">
        <f>Tableau4[[#This Row],[Economies totales (m3)]]/Tableau4[[#This Row],[Nombres appareils installés]]</f>
        <v>277.75</v>
      </c>
      <c r="G116" s="191">
        <v>555.5</v>
      </c>
      <c r="H116" s="189">
        <f t="shared" si="2"/>
        <v>1618.65</v>
      </c>
      <c r="I116" s="189">
        <v>2400</v>
      </c>
      <c r="J116" s="189">
        <f>Tableau4[[#This Row],[Surcoût moyens de l''équipement ($)]]+Tableau4[[#This Row],[Surcoût moyen de l''installation ($)]]</f>
        <v>4018.65</v>
      </c>
      <c r="K116" s="189">
        <f>Tableau4[[#This Row],[Surcoût par appareil ($)]]*Tableau4[[#This Row],[Nombres appareils installés]]</f>
        <v>8037.3</v>
      </c>
      <c r="L116" s="191">
        <v>3400</v>
      </c>
      <c r="M116" s="189">
        <f t="shared" si="3"/>
        <v>2350</v>
      </c>
      <c r="N116" s="189">
        <f>Tableau4[[#This Row],[AF 0 ($)]]/Tableau4[[#This Row],[Nombres appareils installés]]</f>
        <v>1175</v>
      </c>
      <c r="O116" s="192">
        <f>(Tableau4[[#This Row],[AF accordée ($)]])/($J$6*D116)</f>
        <v>0.42463905680171854</v>
      </c>
      <c r="P116" s="192">
        <f>Tableau4[[#This Row],[Couverture 0 (%)]]*Tableau4[[#This Row],[Nombres appareils installés]]</f>
        <v>0.84927811360343708</v>
      </c>
      <c r="Q116" s="189">
        <f>($Q$4+$R$4*(Tableau4[[#This Row],[Capacité (BTU)]]/1000))*Tableau4[[#This Row],[Nombres appareils installés]]</f>
        <v>4550</v>
      </c>
      <c r="R116" s="189">
        <f>Tableau4[[#This Row],[AF 1 ($)]]/Tableau4[[#This Row],[Nombres appareils installés]]</f>
        <v>2275</v>
      </c>
      <c r="S116" s="192">
        <f>Tableau4[[#This Row],[AF 1 ($)]]/(J116*D116)</f>
        <v>0.56611050974829857</v>
      </c>
      <c r="T116" s="192">
        <f>Tableau4[[#This Row],[Couverture 1 (%)]]*Tableau4[[#This Row],[Nombres appareils installés]]</f>
        <v>1.1322210194965971</v>
      </c>
      <c r="U116" s="189">
        <f>($U$4+($V$4*(Tableau4[[#This Row],[Capacité (BTU)]]/1000)))*Tableau4[[#This Row],[Nombres appareils installés]]</f>
        <v>4825</v>
      </c>
      <c r="V116" s="189">
        <f>Tableau4[[#This Row],[AF 2 ($)]]/Tableau4[[#This Row],[Nombres appareils installés]]</f>
        <v>2412.5</v>
      </c>
      <c r="W116" s="193">
        <f>Tableau4[[#This Row],[AF 2 par appareil ($)]]/Tableau4[[#This Row],[Surcoût par appareil ($)]]</f>
        <v>0.60032598011770122</v>
      </c>
      <c r="X116" s="193">
        <f>Tableau4[[#This Row],[Couverture 2 (%)]]*Tableau4[[#This Row],[Nombres appareils installés]]</f>
        <v>1.2006519602354024</v>
      </c>
      <c r="Y116" s="189">
        <f>($Y$4+$Z$4*(Tableau4[[#This Row],[Capacité (BTU)]]/1000))*Tableau4[[#This Row],[Nombres appareils installés]]</f>
        <v>5550</v>
      </c>
      <c r="Z116" s="189">
        <f>Tableau4[[#This Row],[AF 3 ($)]]/Tableau4[[#This Row],[Nombres appareils installés]]</f>
        <v>2775</v>
      </c>
      <c r="AA116" s="194">
        <f>Tableau4[[#This Row],[AF 3 par appareil ($)]]/Tableau4[[#This Row],[Surcoût par appareil ($)]]</f>
        <v>0.69053040200067184</v>
      </c>
      <c r="AB116" s="194">
        <f>Tableau4[[#This Row],[Couverture 3 (%)]]*Tableau4[[#This Row],[Nombres appareils installés]]</f>
        <v>1.3810608040013437</v>
      </c>
      <c r="AC116" s="189">
        <f>($AC$4+$AD$4*(Tableau4[[#This Row],[Capacité (BTU)]]/1000))*Tableau4[[#This Row],[Nombres appareils installés]]</f>
        <v>4840</v>
      </c>
      <c r="AD116" s="189">
        <f>Tableau4[[#This Row],[AF 4 ($)]]/Tableau4[[#This Row],[Nombres appareils installés]]</f>
        <v>2420</v>
      </c>
      <c r="AE116" s="195">
        <f>Tableau4[[#This Row],[Couverture 4 (%)]]*Tableau4[[#This Row],[Nombres appareils installés]]</f>
        <v>1.2043845570029736</v>
      </c>
      <c r="AF116" s="194">
        <f>Tableau4[[#This Row],[AF 4 par appareil  ($)]]/Tableau4[[#This Row],[Surcoût par appareil ($)]]</f>
        <v>0.60219227850148682</v>
      </c>
    </row>
    <row r="117" spans="2:32" x14ac:dyDescent="0.3">
      <c r="B117" s="196" t="s">
        <v>283</v>
      </c>
      <c r="C117" s="189" t="s">
        <v>287</v>
      </c>
      <c r="D117" s="189">
        <v>4</v>
      </c>
      <c r="E117" s="189">
        <v>55000</v>
      </c>
      <c r="F117" s="197">
        <f>Tableau4[[#This Row],[Economies totales (m3)]]/Tableau4[[#This Row],[Nombres appareils installés]]</f>
        <v>277.75</v>
      </c>
      <c r="G117" s="191">
        <v>1111</v>
      </c>
      <c r="H117" s="189">
        <f t="shared" si="2"/>
        <v>1618.65</v>
      </c>
      <c r="I117" s="189">
        <v>2400</v>
      </c>
      <c r="J117" s="189">
        <f>Tableau4[[#This Row],[Surcoût moyens de l''équipement ($)]]+Tableau4[[#This Row],[Surcoût moyen de l''installation ($)]]</f>
        <v>4018.65</v>
      </c>
      <c r="K117" s="189">
        <f>Tableau4[[#This Row],[Surcoût par appareil ($)]]*Tableau4[[#This Row],[Nombres appareils installés]]</f>
        <v>16074.6</v>
      </c>
      <c r="L117" s="191">
        <v>6800</v>
      </c>
      <c r="M117" s="189">
        <f t="shared" si="3"/>
        <v>4700</v>
      </c>
      <c r="N117" s="189">
        <f>Tableau4[[#This Row],[AF 0 ($)]]/Tableau4[[#This Row],[Nombres appareils installés]]</f>
        <v>1175</v>
      </c>
      <c r="O117" s="192">
        <f>(Tableau4[[#This Row],[AF accordée ($)]])/($J$6*D117)</f>
        <v>0.42463905680171854</v>
      </c>
      <c r="P117" s="192">
        <f>Tableau4[[#This Row],[Couverture 0 (%)]]*Tableau4[[#This Row],[Nombres appareils installés]]</f>
        <v>1.6985562272068742</v>
      </c>
      <c r="Q117" s="189">
        <f>($Q$4+$R$4*(Tableau4[[#This Row],[Capacité (BTU)]]/1000))*Tableau4[[#This Row],[Nombres appareils installés]]</f>
        <v>9100</v>
      </c>
      <c r="R117" s="189">
        <f>Tableau4[[#This Row],[AF 1 ($)]]/Tableau4[[#This Row],[Nombres appareils installés]]</f>
        <v>2275</v>
      </c>
      <c r="S117" s="192">
        <f>Tableau4[[#This Row],[AF 1 ($)]]/(J117*D117)</f>
        <v>0.56611050974829857</v>
      </c>
      <c r="T117" s="192">
        <f>Tableau4[[#This Row],[Couverture 1 (%)]]*Tableau4[[#This Row],[Nombres appareils installés]]</f>
        <v>2.2644420389931943</v>
      </c>
      <c r="U117" s="189">
        <f>($U$4+($V$4*(Tableau4[[#This Row],[Capacité (BTU)]]/1000)))*Tableau4[[#This Row],[Nombres appareils installés]]</f>
        <v>9650</v>
      </c>
      <c r="V117" s="189">
        <f>Tableau4[[#This Row],[AF 2 ($)]]/Tableau4[[#This Row],[Nombres appareils installés]]</f>
        <v>2412.5</v>
      </c>
      <c r="W117" s="193">
        <f>Tableau4[[#This Row],[AF 2 par appareil ($)]]/Tableau4[[#This Row],[Surcoût par appareil ($)]]</f>
        <v>0.60032598011770122</v>
      </c>
      <c r="X117" s="193">
        <f>Tableau4[[#This Row],[Couverture 2 (%)]]*Tableau4[[#This Row],[Nombres appareils installés]]</f>
        <v>2.4013039204708049</v>
      </c>
      <c r="Y117" s="189">
        <f>($Y$4+$Z$4*(Tableau4[[#This Row],[Capacité (BTU)]]/1000))*Tableau4[[#This Row],[Nombres appareils installés]]</f>
        <v>11100</v>
      </c>
      <c r="Z117" s="189">
        <f>Tableau4[[#This Row],[AF 3 ($)]]/Tableau4[[#This Row],[Nombres appareils installés]]</f>
        <v>2775</v>
      </c>
      <c r="AA117" s="194">
        <f>Tableau4[[#This Row],[AF 3 par appareil ($)]]/Tableau4[[#This Row],[Surcoût par appareil ($)]]</f>
        <v>0.69053040200067184</v>
      </c>
      <c r="AB117" s="194">
        <f>Tableau4[[#This Row],[Couverture 3 (%)]]*Tableau4[[#This Row],[Nombres appareils installés]]</f>
        <v>2.7621216080026874</v>
      </c>
      <c r="AC117" s="189">
        <f>($AC$4+$AD$4*(Tableau4[[#This Row],[Capacité (BTU)]]/1000))*Tableau4[[#This Row],[Nombres appareils installés]]</f>
        <v>9680</v>
      </c>
      <c r="AD117" s="189">
        <f>Tableau4[[#This Row],[AF 4 ($)]]/Tableau4[[#This Row],[Nombres appareils installés]]</f>
        <v>2420</v>
      </c>
      <c r="AE117" s="195">
        <f>Tableau4[[#This Row],[Couverture 4 (%)]]*Tableau4[[#This Row],[Nombres appareils installés]]</f>
        <v>2.4087691140059473</v>
      </c>
      <c r="AF117" s="194">
        <f>Tableau4[[#This Row],[AF 4 par appareil  ($)]]/Tableau4[[#This Row],[Surcoût par appareil ($)]]</f>
        <v>0.60219227850148682</v>
      </c>
    </row>
    <row r="118" spans="2:32" x14ac:dyDescent="0.3">
      <c r="B118" s="196" t="s">
        <v>283</v>
      </c>
      <c r="C118" s="189" t="s">
        <v>286</v>
      </c>
      <c r="D118" s="189">
        <v>2</v>
      </c>
      <c r="E118" s="189">
        <v>65000</v>
      </c>
      <c r="F118" s="197">
        <f>Tableau4[[#This Row],[Economies totales (m3)]]/Tableau4[[#This Row],[Nombres appareils installés]]</f>
        <v>328.25</v>
      </c>
      <c r="G118" s="191">
        <v>656.5</v>
      </c>
      <c r="H118" s="189">
        <f t="shared" si="2"/>
        <v>1653.65</v>
      </c>
      <c r="I118" s="189">
        <v>2400</v>
      </c>
      <c r="J118" s="189">
        <f>Tableau4[[#This Row],[Surcoût moyens de l''équipement ($)]]+Tableau4[[#This Row],[Surcoût moyen de l''installation ($)]]</f>
        <v>4053.65</v>
      </c>
      <c r="K118" s="189">
        <f>Tableau4[[#This Row],[Surcoût par appareil ($)]]*Tableau4[[#This Row],[Nombres appareils installés]]</f>
        <v>8107.3</v>
      </c>
      <c r="L118" s="191">
        <v>3400</v>
      </c>
      <c r="M118" s="189">
        <f t="shared" si="3"/>
        <v>2450</v>
      </c>
      <c r="N118" s="189">
        <f>Tableau4[[#This Row],[AF 0 ($)]]/Tableau4[[#This Row],[Nombres appareils installés]]</f>
        <v>1225</v>
      </c>
      <c r="O118" s="192">
        <f>(Tableau4[[#This Row],[AF accordée ($)]])/($J$6*D118)</f>
        <v>0.42463905680171854</v>
      </c>
      <c r="P118" s="192">
        <f>Tableau4[[#This Row],[Couverture 0 (%)]]*Tableau4[[#This Row],[Nombres appareils installés]]</f>
        <v>0.84927811360343708</v>
      </c>
      <c r="Q118" s="189">
        <f>($Q$4+$R$4*(Tableau4[[#This Row],[Capacité (BTU)]]/1000))*Tableau4[[#This Row],[Nombres appareils installés]]</f>
        <v>4650</v>
      </c>
      <c r="R118" s="189">
        <f>Tableau4[[#This Row],[AF 1 ($)]]/Tableau4[[#This Row],[Nombres appareils installés]]</f>
        <v>2325</v>
      </c>
      <c r="S118" s="192">
        <f>Tableau4[[#This Row],[AF 1 ($)]]/(J118*D118)</f>
        <v>0.57355716453073158</v>
      </c>
      <c r="T118" s="192">
        <f>Tableau4[[#This Row],[Couverture 1 (%)]]*Tableau4[[#This Row],[Nombres appareils installés]]</f>
        <v>1.1471143290614632</v>
      </c>
      <c r="U118" s="189">
        <f>($U$4+($V$4*(Tableau4[[#This Row],[Capacité (BTU)]]/1000)))*Tableau4[[#This Row],[Nombres appareils installés]]</f>
        <v>4975</v>
      </c>
      <c r="V118" s="189">
        <f>Tableau4[[#This Row],[AF 2 ($)]]/Tableau4[[#This Row],[Nombres appareils installés]]</f>
        <v>2487.5</v>
      </c>
      <c r="W118" s="193">
        <f>Tableau4[[#This Row],[AF 2 par appareil ($)]]/Tableau4[[#This Row],[Surcoût par appareil ($)]]</f>
        <v>0.61364449323449233</v>
      </c>
      <c r="X118" s="193">
        <f>Tableau4[[#This Row],[Couverture 2 (%)]]*Tableau4[[#This Row],[Nombres appareils installés]]</f>
        <v>1.2272889864689847</v>
      </c>
      <c r="Y118" s="189">
        <f>($Y$4+$Z$4*(Tableau4[[#This Row],[Capacité (BTU)]]/1000))*Tableau4[[#This Row],[Nombres appareils installés]]</f>
        <v>5650</v>
      </c>
      <c r="Z118" s="189">
        <f>Tableau4[[#This Row],[AF 3 ($)]]/Tableau4[[#This Row],[Nombres appareils installés]]</f>
        <v>2825</v>
      </c>
      <c r="AA118" s="194">
        <f>Tableau4[[#This Row],[AF 3 par appareil ($)]]/Tableau4[[#This Row],[Surcoût par appareil ($)]]</f>
        <v>0.69690279131153399</v>
      </c>
      <c r="AB118" s="194">
        <f>Tableau4[[#This Row],[Couverture 3 (%)]]*Tableau4[[#This Row],[Nombres appareils installés]]</f>
        <v>1.393805582623068</v>
      </c>
      <c r="AC118" s="189">
        <f>($AC$4+$AD$4*(Tableau4[[#This Row],[Capacité (BTU)]]/1000))*Tableau4[[#This Row],[Nombres appareils installés]]</f>
        <v>4920</v>
      </c>
      <c r="AD118" s="189">
        <f>Tableau4[[#This Row],[AF 4 ($)]]/Tableau4[[#This Row],[Nombres appareils installés]]</f>
        <v>2460</v>
      </c>
      <c r="AE118" s="195">
        <f>Tableau4[[#This Row],[Couverture 4 (%)]]*Tableau4[[#This Row],[Nombres appareils installés]]</f>
        <v>1.2137209675230964</v>
      </c>
      <c r="AF118" s="194">
        <f>Tableau4[[#This Row],[AF 4 par appareil  ($)]]/Tableau4[[#This Row],[Surcoût par appareil ($)]]</f>
        <v>0.60686048376154822</v>
      </c>
    </row>
    <row r="119" spans="2:32" x14ac:dyDescent="0.3">
      <c r="B119" s="196" t="s">
        <v>283</v>
      </c>
      <c r="C119" s="189" t="s">
        <v>288</v>
      </c>
      <c r="D119" s="189">
        <v>1</v>
      </c>
      <c r="E119" s="189">
        <v>135000</v>
      </c>
      <c r="F119" s="197">
        <f>Tableau4[[#This Row],[Economies totales (m3)]]/Tableau4[[#This Row],[Nombres appareils installés]]</f>
        <v>681.75</v>
      </c>
      <c r="G119" s="191">
        <v>681.75</v>
      </c>
      <c r="H119" s="189">
        <f t="shared" si="2"/>
        <v>2066.65</v>
      </c>
      <c r="I119" s="189">
        <v>2400</v>
      </c>
      <c r="J119" s="189">
        <f>Tableau4[[#This Row],[Surcoût moyens de l''équipement ($)]]+Tableau4[[#This Row],[Surcoût moyen de l''installation ($)]]</f>
        <v>4466.6499999999996</v>
      </c>
      <c r="K119" s="189">
        <f>Tableau4[[#This Row],[Surcoût par appareil ($)]]*Tableau4[[#This Row],[Nombres appareils installés]]</f>
        <v>4466.6499999999996</v>
      </c>
      <c r="L119" s="191">
        <v>1575</v>
      </c>
      <c r="M119" s="189">
        <f t="shared" si="3"/>
        <v>1575</v>
      </c>
      <c r="N119" s="189">
        <f>Tableau4[[#This Row],[AF 0 ($)]]/Tableau4[[#This Row],[Nombres appareils installés]]</f>
        <v>1575</v>
      </c>
      <c r="O119" s="192">
        <f>(Tableau4[[#This Row],[AF accordée ($)]])/($J$6*D119)</f>
        <v>0.39341559674276866</v>
      </c>
      <c r="P119" s="192">
        <f>Tableau4[[#This Row],[Couverture 0 (%)]]*Tableau4[[#This Row],[Nombres appareils installés]]</f>
        <v>0.39341559674276866</v>
      </c>
      <c r="Q119" s="189">
        <f>($Q$4+$R$4*(Tableau4[[#This Row],[Capacité (BTU)]]/1000))*Tableau4[[#This Row],[Nombres appareils installés]]</f>
        <v>2675</v>
      </c>
      <c r="R119" s="189">
        <f>Tableau4[[#This Row],[AF 1 ($)]]/Tableau4[[#This Row],[Nombres appareils installés]]</f>
        <v>2675</v>
      </c>
      <c r="S119" s="192">
        <f>Tableau4[[#This Row],[AF 1 ($)]]/(J119*D119)</f>
        <v>0.59888283165235701</v>
      </c>
      <c r="T119" s="192">
        <f>Tableau4[[#This Row],[Couverture 1 (%)]]*Tableau4[[#This Row],[Nombres appareils installés]]</f>
        <v>0.59888283165235701</v>
      </c>
      <c r="U119" s="189">
        <f>($U$4+($V$4*(Tableau4[[#This Row],[Capacité (BTU)]]/1000)))*Tableau4[[#This Row],[Nombres appareils installés]]</f>
        <v>3012.5</v>
      </c>
      <c r="V119" s="189">
        <f>Tableau4[[#This Row],[AF 2 ($)]]/Tableau4[[#This Row],[Nombres appareils installés]]</f>
        <v>3012.5</v>
      </c>
      <c r="W119" s="193">
        <f>Tableau4[[#This Row],[AF 2 par appareil ($)]]/Tableau4[[#This Row],[Surcoût par appareil ($)]]</f>
        <v>0.67444281508513093</v>
      </c>
      <c r="X119" s="193">
        <f>Tableau4[[#This Row],[Couverture 2 (%)]]*Tableau4[[#This Row],[Nombres appareils installés]]</f>
        <v>0.67444281508513093</v>
      </c>
      <c r="Y119" s="189">
        <f>($Y$4+$Z$4*(Tableau4[[#This Row],[Capacité (BTU)]]/1000))*Tableau4[[#This Row],[Nombres appareils installés]]</f>
        <v>3175</v>
      </c>
      <c r="Z119" s="189">
        <f>Tableau4[[#This Row],[AF 3 ($)]]/Tableau4[[#This Row],[Nombres appareils installés]]</f>
        <v>3175</v>
      </c>
      <c r="AA119" s="194">
        <f>Tableau4[[#This Row],[AF 3 par appareil ($)]]/Tableau4[[#This Row],[Surcoût par appareil ($)]]</f>
        <v>0.71082354784905921</v>
      </c>
      <c r="AB119" s="194">
        <f>Tableau4[[#This Row],[Couverture 3 (%)]]*Tableau4[[#This Row],[Nombres appareils installés]]</f>
        <v>0.71082354784905921</v>
      </c>
      <c r="AC119" s="189">
        <f>($AC$4+$AD$4*(Tableau4[[#This Row],[Capacité (BTU)]]/1000))*Tableau4[[#This Row],[Nombres appareils installés]]</f>
        <v>2740</v>
      </c>
      <c r="AD119" s="189">
        <f>Tableau4[[#This Row],[AF 4 ($)]]/Tableau4[[#This Row],[Nombres appareils installés]]</f>
        <v>2740</v>
      </c>
      <c r="AE119" s="195">
        <f>Tableau4[[#This Row],[Couverture 4 (%)]]*Tableau4[[#This Row],[Nombres appareils installés]]</f>
        <v>0.61343512475792827</v>
      </c>
      <c r="AF119" s="194">
        <f>Tableau4[[#This Row],[AF 4 par appareil  ($)]]/Tableau4[[#This Row],[Surcoût par appareil ($)]]</f>
        <v>0.61343512475792827</v>
      </c>
    </row>
    <row r="120" spans="2:32" x14ac:dyDescent="0.3">
      <c r="B120" s="196" t="s">
        <v>283</v>
      </c>
      <c r="C120" s="189" t="s">
        <v>289</v>
      </c>
      <c r="D120" s="189">
        <v>1</v>
      </c>
      <c r="E120" s="189">
        <v>135000</v>
      </c>
      <c r="F120" s="197">
        <f>Tableau4[[#This Row],[Economies totales (m3)]]/Tableau4[[#This Row],[Nombres appareils installés]]</f>
        <v>681.75</v>
      </c>
      <c r="G120" s="191">
        <v>681.75</v>
      </c>
      <c r="H120" s="189">
        <f t="shared" si="2"/>
        <v>2066.65</v>
      </c>
      <c r="I120" s="189">
        <v>2400</v>
      </c>
      <c r="J120" s="189">
        <f>Tableau4[[#This Row],[Surcoût moyens de l''équipement ($)]]+Tableau4[[#This Row],[Surcoût moyen de l''installation ($)]]</f>
        <v>4466.6499999999996</v>
      </c>
      <c r="K120" s="189">
        <f>Tableau4[[#This Row],[Surcoût par appareil ($)]]*Tableau4[[#This Row],[Nombres appareils installés]]</f>
        <v>4466.6499999999996</v>
      </c>
      <c r="L120" s="191">
        <v>1700</v>
      </c>
      <c r="M120" s="189">
        <f t="shared" si="3"/>
        <v>1575</v>
      </c>
      <c r="N120" s="189">
        <f>Tableau4[[#This Row],[AF 0 ($)]]/Tableau4[[#This Row],[Nombres appareils installés]]</f>
        <v>1575</v>
      </c>
      <c r="O120" s="192">
        <f>(Tableau4[[#This Row],[AF accordée ($)]])/($J$6*D120)</f>
        <v>0.42463905680171854</v>
      </c>
      <c r="P120" s="192">
        <f>Tableau4[[#This Row],[Couverture 0 (%)]]*Tableau4[[#This Row],[Nombres appareils installés]]</f>
        <v>0.42463905680171854</v>
      </c>
      <c r="Q120" s="189">
        <f>($Q$4+$R$4*(Tableau4[[#This Row],[Capacité (BTU)]]/1000))*Tableau4[[#This Row],[Nombres appareils installés]]</f>
        <v>2675</v>
      </c>
      <c r="R120" s="189">
        <f>Tableau4[[#This Row],[AF 1 ($)]]/Tableau4[[#This Row],[Nombres appareils installés]]</f>
        <v>2675</v>
      </c>
      <c r="S120" s="192">
        <f>Tableau4[[#This Row],[AF 1 ($)]]/(J120*D120)</f>
        <v>0.59888283165235701</v>
      </c>
      <c r="T120" s="192">
        <f>Tableau4[[#This Row],[Couverture 1 (%)]]*Tableau4[[#This Row],[Nombres appareils installés]]</f>
        <v>0.59888283165235701</v>
      </c>
      <c r="U120" s="189">
        <f>($U$4+($V$4*(Tableau4[[#This Row],[Capacité (BTU)]]/1000)))*Tableau4[[#This Row],[Nombres appareils installés]]</f>
        <v>3012.5</v>
      </c>
      <c r="V120" s="189">
        <f>Tableau4[[#This Row],[AF 2 ($)]]/Tableau4[[#This Row],[Nombres appareils installés]]</f>
        <v>3012.5</v>
      </c>
      <c r="W120" s="193">
        <f>Tableau4[[#This Row],[AF 2 par appareil ($)]]/Tableau4[[#This Row],[Surcoût par appareil ($)]]</f>
        <v>0.67444281508513093</v>
      </c>
      <c r="X120" s="193">
        <f>Tableau4[[#This Row],[Couverture 2 (%)]]*Tableau4[[#This Row],[Nombres appareils installés]]</f>
        <v>0.67444281508513093</v>
      </c>
      <c r="Y120" s="189">
        <f>($Y$4+$Z$4*(Tableau4[[#This Row],[Capacité (BTU)]]/1000))*Tableau4[[#This Row],[Nombres appareils installés]]</f>
        <v>3175</v>
      </c>
      <c r="Z120" s="189">
        <f>Tableau4[[#This Row],[AF 3 ($)]]/Tableau4[[#This Row],[Nombres appareils installés]]</f>
        <v>3175</v>
      </c>
      <c r="AA120" s="194">
        <f>Tableau4[[#This Row],[AF 3 par appareil ($)]]/Tableau4[[#This Row],[Surcoût par appareil ($)]]</f>
        <v>0.71082354784905921</v>
      </c>
      <c r="AB120" s="194">
        <f>Tableau4[[#This Row],[Couverture 3 (%)]]*Tableau4[[#This Row],[Nombres appareils installés]]</f>
        <v>0.71082354784905921</v>
      </c>
      <c r="AC120" s="189">
        <f>($AC$4+$AD$4*(Tableau4[[#This Row],[Capacité (BTU)]]/1000))*Tableau4[[#This Row],[Nombres appareils installés]]</f>
        <v>2740</v>
      </c>
      <c r="AD120" s="189">
        <f>Tableau4[[#This Row],[AF 4 ($)]]/Tableau4[[#This Row],[Nombres appareils installés]]</f>
        <v>2740</v>
      </c>
      <c r="AE120" s="195">
        <f>Tableau4[[#This Row],[Couverture 4 (%)]]*Tableau4[[#This Row],[Nombres appareils installés]]</f>
        <v>0.61343512475792827</v>
      </c>
      <c r="AF120" s="194">
        <f>Tableau4[[#This Row],[AF 4 par appareil  ($)]]/Tableau4[[#This Row],[Surcoût par appareil ($)]]</f>
        <v>0.61343512475792827</v>
      </c>
    </row>
    <row r="121" spans="2:32" x14ac:dyDescent="0.3">
      <c r="B121" s="196" t="s">
        <v>283</v>
      </c>
      <c r="C121" s="189" t="s">
        <v>290</v>
      </c>
      <c r="D121" s="189">
        <v>2</v>
      </c>
      <c r="E121" s="189">
        <v>135000</v>
      </c>
      <c r="F121" s="197">
        <f>Tableau4[[#This Row],[Economies totales (m3)]]/Tableau4[[#This Row],[Nombres appareils installés]]</f>
        <v>681.75</v>
      </c>
      <c r="G121" s="191">
        <v>1363.5</v>
      </c>
      <c r="H121" s="189">
        <f t="shared" si="2"/>
        <v>2066.65</v>
      </c>
      <c r="I121" s="189">
        <v>2400</v>
      </c>
      <c r="J121" s="189">
        <f>Tableau4[[#This Row],[Surcoût moyens de l''équipement ($)]]+Tableau4[[#This Row],[Surcoût moyen de l''installation ($)]]</f>
        <v>4466.6499999999996</v>
      </c>
      <c r="K121" s="189">
        <f>Tableau4[[#This Row],[Surcoût par appareil ($)]]*Tableau4[[#This Row],[Nombres appareils installés]]</f>
        <v>8933.2999999999993</v>
      </c>
      <c r="L121" s="191">
        <v>3400</v>
      </c>
      <c r="M121" s="189">
        <f t="shared" si="3"/>
        <v>3150</v>
      </c>
      <c r="N121" s="189">
        <f>Tableau4[[#This Row],[AF 0 ($)]]/Tableau4[[#This Row],[Nombres appareils installés]]</f>
        <v>1575</v>
      </c>
      <c r="O121" s="192">
        <f>(Tableau4[[#This Row],[AF accordée ($)]])/($J$6*D121)</f>
        <v>0.42463905680171854</v>
      </c>
      <c r="P121" s="192">
        <f>Tableau4[[#This Row],[Couverture 0 (%)]]*Tableau4[[#This Row],[Nombres appareils installés]]</f>
        <v>0.84927811360343708</v>
      </c>
      <c r="Q121" s="189">
        <f>($Q$4+$R$4*(Tableau4[[#This Row],[Capacité (BTU)]]/1000))*Tableau4[[#This Row],[Nombres appareils installés]]</f>
        <v>5350</v>
      </c>
      <c r="R121" s="189">
        <f>Tableau4[[#This Row],[AF 1 ($)]]/Tableau4[[#This Row],[Nombres appareils installés]]</f>
        <v>2675</v>
      </c>
      <c r="S121" s="192">
        <f>Tableau4[[#This Row],[AF 1 ($)]]/(J121*D121)</f>
        <v>0.59888283165235701</v>
      </c>
      <c r="T121" s="192">
        <f>Tableau4[[#This Row],[Couverture 1 (%)]]*Tableau4[[#This Row],[Nombres appareils installés]]</f>
        <v>1.197765663304714</v>
      </c>
      <c r="U121" s="189">
        <f>($U$4+($V$4*(Tableau4[[#This Row],[Capacité (BTU)]]/1000)))*Tableau4[[#This Row],[Nombres appareils installés]]</f>
        <v>6025</v>
      </c>
      <c r="V121" s="189">
        <f>Tableau4[[#This Row],[AF 2 ($)]]/Tableau4[[#This Row],[Nombres appareils installés]]</f>
        <v>3012.5</v>
      </c>
      <c r="W121" s="193">
        <f>Tableau4[[#This Row],[AF 2 par appareil ($)]]/Tableau4[[#This Row],[Surcoût par appareil ($)]]</f>
        <v>0.67444281508513093</v>
      </c>
      <c r="X121" s="193">
        <f>Tableau4[[#This Row],[Couverture 2 (%)]]*Tableau4[[#This Row],[Nombres appareils installés]]</f>
        <v>1.3488856301702619</v>
      </c>
      <c r="Y121" s="189">
        <f>($Y$4+$Z$4*(Tableau4[[#This Row],[Capacité (BTU)]]/1000))*Tableau4[[#This Row],[Nombres appareils installés]]</f>
        <v>6350</v>
      </c>
      <c r="Z121" s="189">
        <f>Tableau4[[#This Row],[AF 3 ($)]]/Tableau4[[#This Row],[Nombres appareils installés]]</f>
        <v>3175</v>
      </c>
      <c r="AA121" s="194">
        <f>Tableau4[[#This Row],[AF 3 par appareil ($)]]/Tableau4[[#This Row],[Surcoût par appareil ($)]]</f>
        <v>0.71082354784905921</v>
      </c>
      <c r="AB121" s="194">
        <f>Tableau4[[#This Row],[Couverture 3 (%)]]*Tableau4[[#This Row],[Nombres appareils installés]]</f>
        <v>1.4216470956981184</v>
      </c>
      <c r="AC121" s="189">
        <f>($AC$4+$AD$4*(Tableau4[[#This Row],[Capacité (BTU)]]/1000))*Tableau4[[#This Row],[Nombres appareils installés]]</f>
        <v>5480</v>
      </c>
      <c r="AD121" s="189">
        <f>Tableau4[[#This Row],[AF 4 ($)]]/Tableau4[[#This Row],[Nombres appareils installés]]</f>
        <v>2740</v>
      </c>
      <c r="AE121" s="195">
        <f>Tableau4[[#This Row],[Couverture 4 (%)]]*Tableau4[[#This Row],[Nombres appareils installés]]</f>
        <v>1.2268702495158565</v>
      </c>
      <c r="AF121" s="194">
        <f>Tableau4[[#This Row],[AF 4 par appareil  ($)]]/Tableau4[[#This Row],[Surcoût par appareil ($)]]</f>
        <v>0.61343512475792827</v>
      </c>
    </row>
    <row r="122" spans="2:32" x14ac:dyDescent="0.3">
      <c r="B122" s="196" t="s">
        <v>283</v>
      </c>
      <c r="C122" s="189" t="s">
        <v>291</v>
      </c>
      <c r="D122" s="189">
        <v>1</v>
      </c>
      <c r="E122" s="189">
        <v>155000</v>
      </c>
      <c r="F122" s="197">
        <f>Tableau4[[#This Row],[Economies totales (m3)]]/Tableau4[[#This Row],[Nombres appareils installés]]</f>
        <v>782.75</v>
      </c>
      <c r="G122" s="191">
        <v>782.75</v>
      </c>
      <c r="H122" s="189">
        <f t="shared" si="2"/>
        <v>2238.65</v>
      </c>
      <c r="I122" s="189">
        <v>2400</v>
      </c>
      <c r="J122" s="189">
        <f>Tableau4[[#This Row],[Surcoût moyens de l''équipement ($)]]+Tableau4[[#This Row],[Surcoût moyen de l''installation ($)]]</f>
        <v>4638.6499999999996</v>
      </c>
      <c r="K122" s="189">
        <f>Tableau4[[#This Row],[Surcoût par appareil ($)]]*Tableau4[[#This Row],[Nombres appareils installés]]</f>
        <v>4638.6499999999996</v>
      </c>
      <c r="L122" s="191">
        <v>1700</v>
      </c>
      <c r="M122" s="189">
        <f t="shared" si="3"/>
        <v>1675</v>
      </c>
      <c r="N122" s="189">
        <f>Tableau4[[#This Row],[AF 0 ($)]]/Tableau4[[#This Row],[Nombres appareils installés]]</f>
        <v>1675</v>
      </c>
      <c r="O122" s="192">
        <f>(Tableau4[[#This Row],[AF accordée ($)]])/($J$6*D122)</f>
        <v>0.42463905680171854</v>
      </c>
      <c r="P122" s="192">
        <f>Tableau4[[#This Row],[Couverture 0 (%)]]*Tableau4[[#This Row],[Nombres appareils installés]]</f>
        <v>0.42463905680171854</v>
      </c>
      <c r="Q122" s="189">
        <f>($Q$4+$R$4*(Tableau4[[#This Row],[Capacité (BTU)]]/1000))*Tableau4[[#This Row],[Nombres appareils installés]]</f>
        <v>2775</v>
      </c>
      <c r="R122" s="189">
        <f>Tableau4[[#This Row],[AF 1 ($)]]/Tableau4[[#This Row],[Nombres appareils installés]]</f>
        <v>2775</v>
      </c>
      <c r="S122" s="192">
        <f>Tableau4[[#This Row],[AF 1 ($)]]/(J122*D122)</f>
        <v>0.59823440009485518</v>
      </c>
      <c r="T122" s="192">
        <f>Tableau4[[#This Row],[Couverture 1 (%)]]*Tableau4[[#This Row],[Nombres appareils installés]]</f>
        <v>0.59823440009485518</v>
      </c>
      <c r="U122" s="189">
        <f>($U$4+($V$4*(Tableau4[[#This Row],[Capacité (BTU)]]/1000)))*Tableau4[[#This Row],[Nombres appareils installés]]</f>
        <v>3162.5</v>
      </c>
      <c r="V122" s="189">
        <f>Tableau4[[#This Row],[AF 2 ($)]]/Tableau4[[#This Row],[Nombres appareils installés]]</f>
        <v>3162.5</v>
      </c>
      <c r="W122" s="193">
        <f>Tableau4[[#This Row],[AF 2 par appareil ($)]]/Tableau4[[#This Row],[Surcoût par appareil ($)]]</f>
        <v>0.68177163614413683</v>
      </c>
      <c r="X122" s="193">
        <f>Tableau4[[#This Row],[Couverture 2 (%)]]*Tableau4[[#This Row],[Nombres appareils installés]]</f>
        <v>0.68177163614413683</v>
      </c>
      <c r="Y122" s="189">
        <f>($Y$4+$Z$4*(Tableau4[[#This Row],[Capacité (BTU)]]/1000))*Tableau4[[#This Row],[Nombres appareils installés]]</f>
        <v>3275</v>
      </c>
      <c r="Z122" s="189">
        <f>Tableau4[[#This Row],[AF 3 ($)]]/Tableau4[[#This Row],[Nombres appareils installés]]</f>
        <v>3275</v>
      </c>
      <c r="AA122" s="194">
        <f>Tableau4[[#This Row],[AF 3 par appareil ($)]]/Tableau4[[#This Row],[Surcoût par appareil ($)]]</f>
        <v>0.70602438209392826</v>
      </c>
      <c r="AB122" s="194">
        <f>Tableau4[[#This Row],[Couverture 3 (%)]]*Tableau4[[#This Row],[Nombres appareils installés]]</f>
        <v>0.70602438209392826</v>
      </c>
      <c r="AC122" s="189">
        <f>($AC$4+$AD$4*(Tableau4[[#This Row],[Capacité (BTU)]]/1000))*Tableau4[[#This Row],[Nombres appareils installés]]</f>
        <v>2820</v>
      </c>
      <c r="AD122" s="189">
        <f>Tableau4[[#This Row],[AF 4 ($)]]/Tableau4[[#This Row],[Nombres appareils installés]]</f>
        <v>2820</v>
      </c>
      <c r="AE122" s="195">
        <f>Tableau4[[#This Row],[Couverture 4 (%)]]*Tableau4[[#This Row],[Nombres appareils installés]]</f>
        <v>0.6079354984747718</v>
      </c>
      <c r="AF122" s="194">
        <f>Tableau4[[#This Row],[AF 4 par appareil  ($)]]/Tableau4[[#This Row],[Surcoût par appareil ($)]]</f>
        <v>0.6079354984747718</v>
      </c>
    </row>
    <row r="123" spans="2:32" x14ac:dyDescent="0.3">
      <c r="B123" s="196" t="s">
        <v>283</v>
      </c>
      <c r="C123" s="189" t="s">
        <v>290</v>
      </c>
      <c r="D123" s="189">
        <v>1</v>
      </c>
      <c r="E123" s="189">
        <v>155000</v>
      </c>
      <c r="F123" s="197">
        <f>Tableau4[[#This Row],[Economies totales (m3)]]/Tableau4[[#This Row],[Nombres appareils installés]]</f>
        <v>782.75</v>
      </c>
      <c r="G123" s="191">
        <v>782.75</v>
      </c>
      <c r="H123" s="189">
        <f t="shared" si="2"/>
        <v>2238.65</v>
      </c>
      <c r="I123" s="189">
        <v>2400</v>
      </c>
      <c r="J123" s="189">
        <f>Tableau4[[#This Row],[Surcoût moyens de l''équipement ($)]]+Tableau4[[#This Row],[Surcoût moyen de l''installation ($)]]</f>
        <v>4638.6499999999996</v>
      </c>
      <c r="K123" s="189">
        <f>Tableau4[[#This Row],[Surcoût par appareil ($)]]*Tableau4[[#This Row],[Nombres appareils installés]]</f>
        <v>4638.6499999999996</v>
      </c>
      <c r="L123" s="191">
        <v>1700</v>
      </c>
      <c r="M123" s="189">
        <f t="shared" si="3"/>
        <v>1675</v>
      </c>
      <c r="N123" s="189">
        <f>Tableau4[[#This Row],[AF 0 ($)]]/Tableau4[[#This Row],[Nombres appareils installés]]</f>
        <v>1675</v>
      </c>
      <c r="O123" s="192">
        <f>(Tableau4[[#This Row],[AF accordée ($)]])/($J$6*D123)</f>
        <v>0.42463905680171854</v>
      </c>
      <c r="P123" s="192">
        <f>Tableau4[[#This Row],[Couverture 0 (%)]]*Tableau4[[#This Row],[Nombres appareils installés]]</f>
        <v>0.42463905680171854</v>
      </c>
      <c r="Q123" s="189">
        <f>($Q$4+$R$4*(Tableau4[[#This Row],[Capacité (BTU)]]/1000))*Tableau4[[#This Row],[Nombres appareils installés]]</f>
        <v>2775</v>
      </c>
      <c r="R123" s="189">
        <f>Tableau4[[#This Row],[AF 1 ($)]]/Tableau4[[#This Row],[Nombres appareils installés]]</f>
        <v>2775</v>
      </c>
      <c r="S123" s="192">
        <f>Tableau4[[#This Row],[AF 1 ($)]]/(J123*D123)</f>
        <v>0.59823440009485518</v>
      </c>
      <c r="T123" s="192">
        <f>Tableau4[[#This Row],[Couverture 1 (%)]]*Tableau4[[#This Row],[Nombres appareils installés]]</f>
        <v>0.59823440009485518</v>
      </c>
      <c r="U123" s="189">
        <f>($U$4+($V$4*(Tableau4[[#This Row],[Capacité (BTU)]]/1000)))*Tableau4[[#This Row],[Nombres appareils installés]]</f>
        <v>3162.5</v>
      </c>
      <c r="V123" s="189">
        <f>Tableau4[[#This Row],[AF 2 ($)]]/Tableau4[[#This Row],[Nombres appareils installés]]</f>
        <v>3162.5</v>
      </c>
      <c r="W123" s="193">
        <f>Tableau4[[#This Row],[AF 2 par appareil ($)]]/Tableau4[[#This Row],[Surcoût par appareil ($)]]</f>
        <v>0.68177163614413683</v>
      </c>
      <c r="X123" s="193">
        <f>Tableau4[[#This Row],[Couverture 2 (%)]]*Tableau4[[#This Row],[Nombres appareils installés]]</f>
        <v>0.68177163614413683</v>
      </c>
      <c r="Y123" s="189">
        <f>($Y$4+$Z$4*(Tableau4[[#This Row],[Capacité (BTU)]]/1000))*Tableau4[[#This Row],[Nombres appareils installés]]</f>
        <v>3275</v>
      </c>
      <c r="Z123" s="189">
        <f>Tableau4[[#This Row],[AF 3 ($)]]/Tableau4[[#This Row],[Nombres appareils installés]]</f>
        <v>3275</v>
      </c>
      <c r="AA123" s="194">
        <f>Tableau4[[#This Row],[AF 3 par appareil ($)]]/Tableau4[[#This Row],[Surcoût par appareil ($)]]</f>
        <v>0.70602438209392826</v>
      </c>
      <c r="AB123" s="194">
        <f>Tableau4[[#This Row],[Couverture 3 (%)]]*Tableau4[[#This Row],[Nombres appareils installés]]</f>
        <v>0.70602438209392826</v>
      </c>
      <c r="AC123" s="189">
        <f>($AC$4+$AD$4*(Tableau4[[#This Row],[Capacité (BTU)]]/1000))*Tableau4[[#This Row],[Nombres appareils installés]]</f>
        <v>2820</v>
      </c>
      <c r="AD123" s="189">
        <f>Tableau4[[#This Row],[AF 4 ($)]]/Tableau4[[#This Row],[Nombres appareils installés]]</f>
        <v>2820</v>
      </c>
      <c r="AE123" s="195">
        <f>Tableau4[[#This Row],[Couverture 4 (%)]]*Tableau4[[#This Row],[Nombres appareils installés]]</f>
        <v>0.6079354984747718</v>
      </c>
      <c r="AF123" s="194">
        <f>Tableau4[[#This Row],[AF 4 par appareil  ($)]]/Tableau4[[#This Row],[Surcoût par appareil ($)]]</f>
        <v>0.6079354984747718</v>
      </c>
    </row>
    <row r="124" spans="2:32" x14ac:dyDescent="0.3">
      <c r="B124" s="196" t="s">
        <v>283</v>
      </c>
      <c r="C124" s="189" t="s">
        <v>292</v>
      </c>
      <c r="D124" s="189">
        <v>2</v>
      </c>
      <c r="E124" s="189">
        <v>155000</v>
      </c>
      <c r="F124" s="197">
        <f>Tableau4[[#This Row],[Economies totales (m3)]]/Tableau4[[#This Row],[Nombres appareils installés]]</f>
        <v>782.75</v>
      </c>
      <c r="G124" s="191">
        <v>1565.5</v>
      </c>
      <c r="H124" s="189">
        <f t="shared" si="2"/>
        <v>2238.65</v>
      </c>
      <c r="I124" s="189">
        <v>2400</v>
      </c>
      <c r="J124" s="189">
        <f>Tableau4[[#This Row],[Surcoût moyens de l''équipement ($)]]+Tableau4[[#This Row],[Surcoût moyen de l''installation ($)]]</f>
        <v>4638.6499999999996</v>
      </c>
      <c r="K124" s="189">
        <f>Tableau4[[#This Row],[Surcoût par appareil ($)]]*Tableau4[[#This Row],[Nombres appareils installés]]</f>
        <v>9277.2999999999993</v>
      </c>
      <c r="L124" s="191">
        <v>3400</v>
      </c>
      <c r="M124" s="189">
        <f t="shared" si="3"/>
        <v>3350</v>
      </c>
      <c r="N124" s="189">
        <f>Tableau4[[#This Row],[AF 0 ($)]]/Tableau4[[#This Row],[Nombres appareils installés]]</f>
        <v>1675</v>
      </c>
      <c r="O124" s="192">
        <f>(Tableau4[[#This Row],[AF accordée ($)]])/($J$6*D124)</f>
        <v>0.42463905680171854</v>
      </c>
      <c r="P124" s="192">
        <f>Tableau4[[#This Row],[Couverture 0 (%)]]*Tableau4[[#This Row],[Nombres appareils installés]]</f>
        <v>0.84927811360343708</v>
      </c>
      <c r="Q124" s="189">
        <f>($Q$4+$R$4*(Tableau4[[#This Row],[Capacité (BTU)]]/1000))*Tableau4[[#This Row],[Nombres appareils installés]]</f>
        <v>5550</v>
      </c>
      <c r="R124" s="189">
        <f>Tableau4[[#This Row],[AF 1 ($)]]/Tableau4[[#This Row],[Nombres appareils installés]]</f>
        <v>2775</v>
      </c>
      <c r="S124" s="192">
        <f>Tableau4[[#This Row],[AF 1 ($)]]/(J124*D124)</f>
        <v>0.59823440009485518</v>
      </c>
      <c r="T124" s="192">
        <f>Tableau4[[#This Row],[Couverture 1 (%)]]*Tableau4[[#This Row],[Nombres appareils installés]]</f>
        <v>1.1964688001897104</v>
      </c>
      <c r="U124" s="189">
        <f>($U$4+($V$4*(Tableau4[[#This Row],[Capacité (BTU)]]/1000)))*Tableau4[[#This Row],[Nombres appareils installés]]</f>
        <v>6325</v>
      </c>
      <c r="V124" s="189">
        <f>Tableau4[[#This Row],[AF 2 ($)]]/Tableau4[[#This Row],[Nombres appareils installés]]</f>
        <v>3162.5</v>
      </c>
      <c r="W124" s="193">
        <f>Tableau4[[#This Row],[AF 2 par appareil ($)]]/Tableau4[[#This Row],[Surcoût par appareil ($)]]</f>
        <v>0.68177163614413683</v>
      </c>
      <c r="X124" s="193">
        <f>Tableau4[[#This Row],[Couverture 2 (%)]]*Tableau4[[#This Row],[Nombres appareils installés]]</f>
        <v>1.3635432722882737</v>
      </c>
      <c r="Y124" s="189">
        <f>($Y$4+$Z$4*(Tableau4[[#This Row],[Capacité (BTU)]]/1000))*Tableau4[[#This Row],[Nombres appareils installés]]</f>
        <v>6550</v>
      </c>
      <c r="Z124" s="189">
        <f>Tableau4[[#This Row],[AF 3 ($)]]/Tableau4[[#This Row],[Nombres appareils installés]]</f>
        <v>3275</v>
      </c>
      <c r="AA124" s="194">
        <f>Tableau4[[#This Row],[AF 3 par appareil ($)]]/Tableau4[[#This Row],[Surcoût par appareil ($)]]</f>
        <v>0.70602438209392826</v>
      </c>
      <c r="AB124" s="194">
        <f>Tableau4[[#This Row],[Couverture 3 (%)]]*Tableau4[[#This Row],[Nombres appareils installés]]</f>
        <v>1.4120487641878565</v>
      </c>
      <c r="AC124" s="189">
        <f>($AC$4+$AD$4*(Tableau4[[#This Row],[Capacité (BTU)]]/1000))*Tableau4[[#This Row],[Nombres appareils installés]]</f>
        <v>5640</v>
      </c>
      <c r="AD124" s="189">
        <f>Tableau4[[#This Row],[AF 4 ($)]]/Tableau4[[#This Row],[Nombres appareils installés]]</f>
        <v>2820</v>
      </c>
      <c r="AE124" s="195">
        <f>Tableau4[[#This Row],[Couverture 4 (%)]]*Tableau4[[#This Row],[Nombres appareils installés]]</f>
        <v>1.2158709969495436</v>
      </c>
      <c r="AF124" s="194">
        <f>Tableau4[[#This Row],[AF 4 par appareil  ($)]]/Tableau4[[#This Row],[Surcoût par appareil ($)]]</f>
        <v>0.6079354984747718</v>
      </c>
    </row>
    <row r="125" spans="2:32" x14ac:dyDescent="0.3">
      <c r="B125" s="196" t="s">
        <v>283</v>
      </c>
      <c r="C125" s="189" t="s">
        <v>293</v>
      </c>
      <c r="D125" s="189">
        <v>3</v>
      </c>
      <c r="E125" s="189">
        <v>155000</v>
      </c>
      <c r="F125" s="197">
        <f>Tableau4[[#This Row],[Economies totales (m3)]]/Tableau4[[#This Row],[Nombres appareils installés]]</f>
        <v>782.75</v>
      </c>
      <c r="G125" s="191">
        <v>2348.25</v>
      </c>
      <c r="H125" s="189">
        <f t="shared" si="2"/>
        <v>2238.65</v>
      </c>
      <c r="I125" s="189">
        <v>2400</v>
      </c>
      <c r="J125" s="189">
        <f>Tableau4[[#This Row],[Surcoût moyens de l''équipement ($)]]+Tableau4[[#This Row],[Surcoût moyen de l''installation ($)]]</f>
        <v>4638.6499999999996</v>
      </c>
      <c r="K125" s="189">
        <f>Tableau4[[#This Row],[Surcoût par appareil ($)]]*Tableau4[[#This Row],[Nombres appareils installés]]</f>
        <v>13915.949999999999</v>
      </c>
      <c r="L125" s="191">
        <v>5100</v>
      </c>
      <c r="M125" s="189">
        <f t="shared" si="3"/>
        <v>5025</v>
      </c>
      <c r="N125" s="189">
        <f>Tableau4[[#This Row],[AF 0 ($)]]/Tableau4[[#This Row],[Nombres appareils installés]]</f>
        <v>1675</v>
      </c>
      <c r="O125" s="192">
        <f>(Tableau4[[#This Row],[AF accordée ($)]])/($J$6*D125)</f>
        <v>0.42463905680171854</v>
      </c>
      <c r="P125" s="192">
        <f>Tableau4[[#This Row],[Couverture 0 (%)]]*Tableau4[[#This Row],[Nombres appareils installés]]</f>
        <v>1.2739171704051557</v>
      </c>
      <c r="Q125" s="189">
        <f>($Q$4+$R$4*(Tableau4[[#This Row],[Capacité (BTU)]]/1000))*Tableau4[[#This Row],[Nombres appareils installés]]</f>
        <v>8325</v>
      </c>
      <c r="R125" s="189">
        <f>Tableau4[[#This Row],[AF 1 ($)]]/Tableau4[[#This Row],[Nombres appareils installés]]</f>
        <v>2775</v>
      </c>
      <c r="S125" s="192">
        <f>Tableau4[[#This Row],[AF 1 ($)]]/(J125*D125)</f>
        <v>0.59823440009485518</v>
      </c>
      <c r="T125" s="192">
        <f>Tableau4[[#This Row],[Couverture 1 (%)]]*Tableau4[[#This Row],[Nombres appareils installés]]</f>
        <v>1.7947032002845655</v>
      </c>
      <c r="U125" s="189">
        <f>($U$4+($V$4*(Tableau4[[#This Row],[Capacité (BTU)]]/1000)))*Tableau4[[#This Row],[Nombres appareils installés]]</f>
        <v>9487.5</v>
      </c>
      <c r="V125" s="189">
        <f>Tableau4[[#This Row],[AF 2 ($)]]/Tableau4[[#This Row],[Nombres appareils installés]]</f>
        <v>3162.5</v>
      </c>
      <c r="W125" s="193">
        <f>Tableau4[[#This Row],[AF 2 par appareil ($)]]/Tableau4[[#This Row],[Surcoût par appareil ($)]]</f>
        <v>0.68177163614413683</v>
      </c>
      <c r="X125" s="193">
        <f>Tableau4[[#This Row],[Couverture 2 (%)]]*Tableau4[[#This Row],[Nombres appareils installés]]</f>
        <v>2.0453149084324105</v>
      </c>
      <c r="Y125" s="189">
        <f>($Y$4+$Z$4*(Tableau4[[#This Row],[Capacité (BTU)]]/1000))*Tableau4[[#This Row],[Nombres appareils installés]]</f>
        <v>9825</v>
      </c>
      <c r="Z125" s="189">
        <f>Tableau4[[#This Row],[AF 3 ($)]]/Tableau4[[#This Row],[Nombres appareils installés]]</f>
        <v>3275</v>
      </c>
      <c r="AA125" s="194">
        <f>Tableau4[[#This Row],[AF 3 par appareil ($)]]/Tableau4[[#This Row],[Surcoût par appareil ($)]]</f>
        <v>0.70602438209392826</v>
      </c>
      <c r="AB125" s="194">
        <f>Tableau4[[#This Row],[Couverture 3 (%)]]*Tableau4[[#This Row],[Nombres appareils installés]]</f>
        <v>2.1180731462817848</v>
      </c>
      <c r="AC125" s="189">
        <f>($AC$4+$AD$4*(Tableau4[[#This Row],[Capacité (BTU)]]/1000))*Tableau4[[#This Row],[Nombres appareils installés]]</f>
        <v>8460</v>
      </c>
      <c r="AD125" s="189">
        <f>Tableau4[[#This Row],[AF 4 ($)]]/Tableau4[[#This Row],[Nombres appareils installés]]</f>
        <v>2820</v>
      </c>
      <c r="AE125" s="195">
        <f>Tableau4[[#This Row],[Couverture 4 (%)]]*Tableau4[[#This Row],[Nombres appareils installés]]</f>
        <v>1.8238064954243154</v>
      </c>
      <c r="AF125" s="194">
        <f>Tableau4[[#This Row],[AF 4 par appareil  ($)]]/Tableau4[[#This Row],[Surcoût par appareil ($)]]</f>
        <v>0.6079354984747718</v>
      </c>
    </row>
    <row r="126" spans="2:32" x14ac:dyDescent="0.3">
      <c r="B126" s="196" t="s">
        <v>283</v>
      </c>
      <c r="C126" s="189" t="s">
        <v>294</v>
      </c>
      <c r="D126" s="189">
        <v>1</v>
      </c>
      <c r="E126" s="189">
        <v>180000</v>
      </c>
      <c r="F126" s="197">
        <f>Tableau4[[#This Row],[Economies totales (m3)]]/Tableau4[[#This Row],[Nombres appareils installés]]</f>
        <v>909</v>
      </c>
      <c r="G126" s="191">
        <v>909</v>
      </c>
      <c r="H126" s="189">
        <f t="shared" si="2"/>
        <v>2487.4</v>
      </c>
      <c r="I126" s="189">
        <v>2400</v>
      </c>
      <c r="J126" s="189">
        <f>Tableau4[[#This Row],[Surcoût moyens de l''équipement ($)]]+Tableau4[[#This Row],[Surcoût moyen de l''installation ($)]]</f>
        <v>4887.3999999999996</v>
      </c>
      <c r="K126" s="189">
        <f>Tableau4[[#This Row],[Surcoût par appareil ($)]]*Tableau4[[#This Row],[Nombres appareils installés]]</f>
        <v>4887.3999999999996</v>
      </c>
      <c r="L126" s="191">
        <v>1700</v>
      </c>
      <c r="M126" s="189">
        <f t="shared" si="3"/>
        <v>1800</v>
      </c>
      <c r="N126" s="189">
        <f>Tableau4[[#This Row],[AF 0 ($)]]/Tableau4[[#This Row],[Nombres appareils installés]]</f>
        <v>1800</v>
      </c>
      <c r="O126" s="192">
        <f>(Tableau4[[#This Row],[AF accordée ($)]])/($J$6*D126)</f>
        <v>0.42463905680171854</v>
      </c>
      <c r="P126" s="192">
        <f>Tableau4[[#This Row],[Couverture 0 (%)]]*Tableau4[[#This Row],[Nombres appareils installés]]</f>
        <v>0.42463905680171854</v>
      </c>
      <c r="Q126" s="189">
        <f>($Q$4+$R$4*(Tableau4[[#This Row],[Capacité (BTU)]]/1000))*Tableau4[[#This Row],[Nombres appareils installés]]</f>
        <v>2900</v>
      </c>
      <c r="R126" s="189">
        <f>Tableau4[[#This Row],[AF 1 ($)]]/Tableau4[[#This Row],[Nombres appareils installés]]</f>
        <v>2900</v>
      </c>
      <c r="S126" s="192">
        <f>Tableau4[[#This Row],[AF 1 ($)]]/(J126*D126)</f>
        <v>0.59336252404141265</v>
      </c>
      <c r="T126" s="192">
        <f>Tableau4[[#This Row],[Couverture 1 (%)]]*Tableau4[[#This Row],[Nombres appareils installés]]</f>
        <v>0.59336252404141265</v>
      </c>
      <c r="U126" s="189">
        <f>($U$4+($V$4*(Tableau4[[#This Row],[Capacité (BTU)]]/1000)))*Tableau4[[#This Row],[Nombres appareils installés]]</f>
        <v>3350</v>
      </c>
      <c r="V126" s="189">
        <f>Tableau4[[#This Row],[AF 2 ($)]]/Tableau4[[#This Row],[Nombres appareils installés]]</f>
        <v>3350</v>
      </c>
      <c r="W126" s="193">
        <f>Tableau4[[#This Row],[AF 2 par appareil ($)]]/Tableau4[[#This Row],[Surcoût par appareil ($)]]</f>
        <v>0.68543601915128705</v>
      </c>
      <c r="X126" s="193">
        <f>Tableau4[[#This Row],[Couverture 2 (%)]]*Tableau4[[#This Row],[Nombres appareils installés]]</f>
        <v>0.68543601915128705</v>
      </c>
      <c r="Y126" s="189">
        <f>($Y$4+$Z$4*(Tableau4[[#This Row],[Capacité (BTU)]]/1000))*Tableau4[[#This Row],[Nombres appareils installés]]</f>
        <v>3400</v>
      </c>
      <c r="Z126" s="189">
        <f>Tableau4[[#This Row],[AF 3 ($)]]/Tableau4[[#This Row],[Nombres appareils installés]]</f>
        <v>3400</v>
      </c>
      <c r="AA126" s="194">
        <f>Tableau4[[#This Row],[AF 3 par appareil ($)]]/Tableau4[[#This Row],[Surcoût par appareil ($)]]</f>
        <v>0.69566640749682862</v>
      </c>
      <c r="AB126" s="194">
        <f>Tableau4[[#This Row],[Couverture 3 (%)]]*Tableau4[[#This Row],[Nombres appareils installés]]</f>
        <v>0.69566640749682862</v>
      </c>
      <c r="AC126" s="189">
        <f>($AC$4+$AD$4*(Tableau4[[#This Row],[Capacité (BTU)]]/1000))*Tableau4[[#This Row],[Nombres appareils installés]]</f>
        <v>2920</v>
      </c>
      <c r="AD126" s="189">
        <f>Tableau4[[#This Row],[AF 4 ($)]]/Tableau4[[#This Row],[Nombres appareils installés]]</f>
        <v>2920</v>
      </c>
      <c r="AE126" s="195">
        <f>Tableau4[[#This Row],[Couverture 4 (%)]]*Tableau4[[#This Row],[Nombres appareils installés]]</f>
        <v>0.59745467937962926</v>
      </c>
      <c r="AF126" s="194">
        <f>Tableau4[[#This Row],[AF 4 par appareil  ($)]]/Tableau4[[#This Row],[Surcoût par appareil ($)]]</f>
        <v>0.59745467937962926</v>
      </c>
    </row>
    <row r="127" spans="2:32" x14ac:dyDescent="0.3">
      <c r="B127" s="196" t="s">
        <v>283</v>
      </c>
      <c r="C127" s="189" t="s">
        <v>295</v>
      </c>
      <c r="D127" s="189">
        <v>1</v>
      </c>
      <c r="E127" s="189">
        <v>180000</v>
      </c>
      <c r="F127" s="197">
        <f>Tableau4[[#This Row],[Economies totales (m3)]]/Tableau4[[#This Row],[Nombres appareils installés]]</f>
        <v>909</v>
      </c>
      <c r="G127" s="191">
        <v>909</v>
      </c>
      <c r="H127" s="189">
        <f t="shared" si="2"/>
        <v>2487.4</v>
      </c>
      <c r="I127" s="189">
        <v>2400</v>
      </c>
      <c r="J127" s="189">
        <f>Tableau4[[#This Row],[Surcoût moyens de l''équipement ($)]]+Tableau4[[#This Row],[Surcoût moyen de l''installation ($)]]</f>
        <v>4887.3999999999996</v>
      </c>
      <c r="K127" s="189">
        <f>Tableau4[[#This Row],[Surcoût par appareil ($)]]*Tableau4[[#This Row],[Nombres appareils installés]]</f>
        <v>4887.3999999999996</v>
      </c>
      <c r="L127" s="191">
        <v>1700</v>
      </c>
      <c r="M127" s="189">
        <f t="shared" si="3"/>
        <v>1800</v>
      </c>
      <c r="N127" s="189">
        <f>Tableau4[[#This Row],[AF 0 ($)]]/Tableau4[[#This Row],[Nombres appareils installés]]</f>
        <v>1800</v>
      </c>
      <c r="O127" s="192">
        <f>(Tableau4[[#This Row],[AF accordée ($)]])/($J$6*D127)</f>
        <v>0.42463905680171854</v>
      </c>
      <c r="P127" s="192">
        <f>Tableau4[[#This Row],[Couverture 0 (%)]]*Tableau4[[#This Row],[Nombres appareils installés]]</f>
        <v>0.42463905680171854</v>
      </c>
      <c r="Q127" s="189">
        <f>($Q$4+$R$4*(Tableau4[[#This Row],[Capacité (BTU)]]/1000))*Tableau4[[#This Row],[Nombres appareils installés]]</f>
        <v>2900</v>
      </c>
      <c r="R127" s="189">
        <f>Tableau4[[#This Row],[AF 1 ($)]]/Tableau4[[#This Row],[Nombres appareils installés]]</f>
        <v>2900</v>
      </c>
      <c r="S127" s="192">
        <f>Tableau4[[#This Row],[AF 1 ($)]]/(J127*D127)</f>
        <v>0.59336252404141265</v>
      </c>
      <c r="T127" s="192">
        <f>Tableau4[[#This Row],[Couverture 1 (%)]]*Tableau4[[#This Row],[Nombres appareils installés]]</f>
        <v>0.59336252404141265</v>
      </c>
      <c r="U127" s="189">
        <f>($U$4+($V$4*(Tableau4[[#This Row],[Capacité (BTU)]]/1000)))*Tableau4[[#This Row],[Nombres appareils installés]]</f>
        <v>3350</v>
      </c>
      <c r="V127" s="189">
        <f>Tableau4[[#This Row],[AF 2 ($)]]/Tableau4[[#This Row],[Nombres appareils installés]]</f>
        <v>3350</v>
      </c>
      <c r="W127" s="193">
        <f>Tableau4[[#This Row],[AF 2 par appareil ($)]]/Tableau4[[#This Row],[Surcoût par appareil ($)]]</f>
        <v>0.68543601915128705</v>
      </c>
      <c r="X127" s="193">
        <f>Tableau4[[#This Row],[Couverture 2 (%)]]*Tableau4[[#This Row],[Nombres appareils installés]]</f>
        <v>0.68543601915128705</v>
      </c>
      <c r="Y127" s="189">
        <f>($Y$4+$Z$4*(Tableau4[[#This Row],[Capacité (BTU)]]/1000))*Tableau4[[#This Row],[Nombres appareils installés]]</f>
        <v>3400</v>
      </c>
      <c r="Z127" s="189">
        <f>Tableau4[[#This Row],[AF 3 ($)]]/Tableau4[[#This Row],[Nombres appareils installés]]</f>
        <v>3400</v>
      </c>
      <c r="AA127" s="194">
        <f>Tableau4[[#This Row],[AF 3 par appareil ($)]]/Tableau4[[#This Row],[Surcoût par appareil ($)]]</f>
        <v>0.69566640749682862</v>
      </c>
      <c r="AB127" s="194">
        <f>Tableau4[[#This Row],[Couverture 3 (%)]]*Tableau4[[#This Row],[Nombres appareils installés]]</f>
        <v>0.69566640749682862</v>
      </c>
      <c r="AC127" s="189">
        <f>($AC$4+$AD$4*(Tableau4[[#This Row],[Capacité (BTU)]]/1000))*Tableau4[[#This Row],[Nombres appareils installés]]</f>
        <v>2920</v>
      </c>
      <c r="AD127" s="189">
        <f>Tableau4[[#This Row],[AF 4 ($)]]/Tableau4[[#This Row],[Nombres appareils installés]]</f>
        <v>2920</v>
      </c>
      <c r="AE127" s="195">
        <f>Tableau4[[#This Row],[Couverture 4 (%)]]*Tableau4[[#This Row],[Nombres appareils installés]]</f>
        <v>0.59745467937962926</v>
      </c>
      <c r="AF127" s="194">
        <f>Tableau4[[#This Row],[AF 4 par appareil  ($)]]/Tableau4[[#This Row],[Surcoût par appareil ($)]]</f>
        <v>0.59745467937962926</v>
      </c>
    </row>
    <row r="128" spans="2:32" x14ac:dyDescent="0.3">
      <c r="B128" s="196" t="s">
        <v>283</v>
      </c>
      <c r="C128" s="189" t="s">
        <v>296</v>
      </c>
      <c r="D128" s="189">
        <v>1</v>
      </c>
      <c r="E128" s="189">
        <v>180000</v>
      </c>
      <c r="F128" s="197">
        <f>Tableau4[[#This Row],[Economies totales (m3)]]/Tableau4[[#This Row],[Nombres appareils installés]]</f>
        <v>909</v>
      </c>
      <c r="G128" s="191">
        <v>909</v>
      </c>
      <c r="H128" s="189">
        <f t="shared" si="2"/>
        <v>2487.4</v>
      </c>
      <c r="I128" s="189">
        <v>2400</v>
      </c>
      <c r="J128" s="189">
        <f>Tableau4[[#This Row],[Surcoût moyens de l''équipement ($)]]+Tableau4[[#This Row],[Surcoût moyen de l''installation ($)]]</f>
        <v>4887.3999999999996</v>
      </c>
      <c r="K128" s="189">
        <f>Tableau4[[#This Row],[Surcoût par appareil ($)]]*Tableau4[[#This Row],[Nombres appareils installés]]</f>
        <v>4887.3999999999996</v>
      </c>
      <c r="L128" s="191">
        <v>1700</v>
      </c>
      <c r="M128" s="189">
        <f t="shared" si="3"/>
        <v>1800</v>
      </c>
      <c r="N128" s="189">
        <f>Tableau4[[#This Row],[AF 0 ($)]]/Tableau4[[#This Row],[Nombres appareils installés]]</f>
        <v>1800</v>
      </c>
      <c r="O128" s="192">
        <f>(Tableau4[[#This Row],[AF accordée ($)]])/($J$6*D128)</f>
        <v>0.42463905680171854</v>
      </c>
      <c r="P128" s="192">
        <f>Tableau4[[#This Row],[Couverture 0 (%)]]*Tableau4[[#This Row],[Nombres appareils installés]]</f>
        <v>0.42463905680171854</v>
      </c>
      <c r="Q128" s="189">
        <f>($Q$4+$R$4*(Tableau4[[#This Row],[Capacité (BTU)]]/1000))*Tableau4[[#This Row],[Nombres appareils installés]]</f>
        <v>2900</v>
      </c>
      <c r="R128" s="189">
        <f>Tableau4[[#This Row],[AF 1 ($)]]/Tableau4[[#This Row],[Nombres appareils installés]]</f>
        <v>2900</v>
      </c>
      <c r="S128" s="192">
        <f>Tableau4[[#This Row],[AF 1 ($)]]/(J128*D128)</f>
        <v>0.59336252404141265</v>
      </c>
      <c r="T128" s="192">
        <f>Tableau4[[#This Row],[Couverture 1 (%)]]*Tableau4[[#This Row],[Nombres appareils installés]]</f>
        <v>0.59336252404141265</v>
      </c>
      <c r="U128" s="189">
        <f>($U$4+($V$4*(Tableau4[[#This Row],[Capacité (BTU)]]/1000)))*Tableau4[[#This Row],[Nombres appareils installés]]</f>
        <v>3350</v>
      </c>
      <c r="V128" s="189">
        <f>Tableau4[[#This Row],[AF 2 ($)]]/Tableau4[[#This Row],[Nombres appareils installés]]</f>
        <v>3350</v>
      </c>
      <c r="W128" s="193">
        <f>Tableau4[[#This Row],[AF 2 par appareil ($)]]/Tableau4[[#This Row],[Surcoût par appareil ($)]]</f>
        <v>0.68543601915128705</v>
      </c>
      <c r="X128" s="193">
        <f>Tableau4[[#This Row],[Couverture 2 (%)]]*Tableau4[[#This Row],[Nombres appareils installés]]</f>
        <v>0.68543601915128705</v>
      </c>
      <c r="Y128" s="189">
        <f>($Y$4+$Z$4*(Tableau4[[#This Row],[Capacité (BTU)]]/1000))*Tableau4[[#This Row],[Nombres appareils installés]]</f>
        <v>3400</v>
      </c>
      <c r="Z128" s="189">
        <f>Tableau4[[#This Row],[AF 3 ($)]]/Tableau4[[#This Row],[Nombres appareils installés]]</f>
        <v>3400</v>
      </c>
      <c r="AA128" s="194">
        <f>Tableau4[[#This Row],[AF 3 par appareil ($)]]/Tableau4[[#This Row],[Surcoût par appareil ($)]]</f>
        <v>0.69566640749682862</v>
      </c>
      <c r="AB128" s="194">
        <f>Tableau4[[#This Row],[Couverture 3 (%)]]*Tableau4[[#This Row],[Nombres appareils installés]]</f>
        <v>0.69566640749682862</v>
      </c>
      <c r="AC128" s="189">
        <f>($AC$4+$AD$4*(Tableau4[[#This Row],[Capacité (BTU)]]/1000))*Tableau4[[#This Row],[Nombres appareils installés]]</f>
        <v>2920</v>
      </c>
      <c r="AD128" s="189">
        <f>Tableau4[[#This Row],[AF 4 ($)]]/Tableau4[[#This Row],[Nombres appareils installés]]</f>
        <v>2920</v>
      </c>
      <c r="AE128" s="195">
        <f>Tableau4[[#This Row],[Couverture 4 (%)]]*Tableau4[[#This Row],[Nombres appareils installés]]</f>
        <v>0.59745467937962926</v>
      </c>
      <c r="AF128" s="194">
        <f>Tableau4[[#This Row],[AF 4 par appareil  ($)]]/Tableau4[[#This Row],[Surcoût par appareil ($)]]</f>
        <v>0.59745467937962926</v>
      </c>
    </row>
    <row r="129" spans="2:32" x14ac:dyDescent="0.3">
      <c r="B129" s="196" t="s">
        <v>283</v>
      </c>
      <c r="C129" s="189" t="s">
        <v>297</v>
      </c>
      <c r="D129" s="189">
        <v>2</v>
      </c>
      <c r="E129" s="189">
        <v>180000</v>
      </c>
      <c r="F129" s="197">
        <f>Tableau4[[#This Row],[Economies totales (m3)]]/Tableau4[[#This Row],[Nombres appareils installés]]</f>
        <v>909</v>
      </c>
      <c r="G129" s="191">
        <v>1818</v>
      </c>
      <c r="H129" s="189">
        <f t="shared" si="2"/>
        <v>2487.4</v>
      </c>
      <c r="I129" s="189">
        <v>2400</v>
      </c>
      <c r="J129" s="189">
        <f>Tableau4[[#This Row],[Surcoût moyens de l''équipement ($)]]+Tableau4[[#This Row],[Surcoût moyen de l''installation ($)]]</f>
        <v>4887.3999999999996</v>
      </c>
      <c r="K129" s="189">
        <f>Tableau4[[#This Row],[Surcoût par appareil ($)]]*Tableau4[[#This Row],[Nombres appareils installés]]</f>
        <v>9774.7999999999993</v>
      </c>
      <c r="L129" s="191">
        <v>3400</v>
      </c>
      <c r="M129" s="189">
        <f t="shared" si="3"/>
        <v>3600</v>
      </c>
      <c r="N129" s="189">
        <f>Tableau4[[#This Row],[AF 0 ($)]]/Tableau4[[#This Row],[Nombres appareils installés]]</f>
        <v>1800</v>
      </c>
      <c r="O129" s="192">
        <f>(Tableau4[[#This Row],[AF accordée ($)]])/($J$6*D129)</f>
        <v>0.42463905680171854</v>
      </c>
      <c r="P129" s="192">
        <f>Tableau4[[#This Row],[Couverture 0 (%)]]*Tableau4[[#This Row],[Nombres appareils installés]]</f>
        <v>0.84927811360343708</v>
      </c>
      <c r="Q129" s="189">
        <f>($Q$4+$R$4*(Tableau4[[#This Row],[Capacité (BTU)]]/1000))*Tableau4[[#This Row],[Nombres appareils installés]]</f>
        <v>5800</v>
      </c>
      <c r="R129" s="189">
        <f>Tableau4[[#This Row],[AF 1 ($)]]/Tableau4[[#This Row],[Nombres appareils installés]]</f>
        <v>2900</v>
      </c>
      <c r="S129" s="192">
        <f>Tableau4[[#This Row],[AF 1 ($)]]/(J129*D129)</f>
        <v>0.59336252404141265</v>
      </c>
      <c r="T129" s="192">
        <f>Tableau4[[#This Row],[Couverture 1 (%)]]*Tableau4[[#This Row],[Nombres appareils installés]]</f>
        <v>1.1867250480828253</v>
      </c>
      <c r="U129" s="189">
        <f>($U$4+($V$4*(Tableau4[[#This Row],[Capacité (BTU)]]/1000)))*Tableau4[[#This Row],[Nombres appareils installés]]</f>
        <v>6700</v>
      </c>
      <c r="V129" s="189">
        <f>Tableau4[[#This Row],[AF 2 ($)]]/Tableau4[[#This Row],[Nombres appareils installés]]</f>
        <v>3350</v>
      </c>
      <c r="W129" s="193">
        <f>Tableau4[[#This Row],[AF 2 par appareil ($)]]/Tableau4[[#This Row],[Surcoût par appareil ($)]]</f>
        <v>0.68543601915128705</v>
      </c>
      <c r="X129" s="193">
        <f>Tableau4[[#This Row],[Couverture 2 (%)]]*Tableau4[[#This Row],[Nombres appareils installés]]</f>
        <v>1.3708720383025741</v>
      </c>
      <c r="Y129" s="189">
        <f>($Y$4+$Z$4*(Tableau4[[#This Row],[Capacité (BTU)]]/1000))*Tableau4[[#This Row],[Nombres appareils installés]]</f>
        <v>6800</v>
      </c>
      <c r="Z129" s="189">
        <f>Tableau4[[#This Row],[AF 3 ($)]]/Tableau4[[#This Row],[Nombres appareils installés]]</f>
        <v>3400</v>
      </c>
      <c r="AA129" s="194">
        <f>Tableau4[[#This Row],[AF 3 par appareil ($)]]/Tableau4[[#This Row],[Surcoût par appareil ($)]]</f>
        <v>0.69566640749682862</v>
      </c>
      <c r="AB129" s="194">
        <f>Tableau4[[#This Row],[Couverture 3 (%)]]*Tableau4[[#This Row],[Nombres appareils installés]]</f>
        <v>1.3913328149936572</v>
      </c>
      <c r="AC129" s="189">
        <f>($AC$4+$AD$4*(Tableau4[[#This Row],[Capacité (BTU)]]/1000))*Tableau4[[#This Row],[Nombres appareils installés]]</f>
        <v>5840</v>
      </c>
      <c r="AD129" s="189">
        <f>Tableau4[[#This Row],[AF 4 ($)]]/Tableau4[[#This Row],[Nombres appareils installés]]</f>
        <v>2920</v>
      </c>
      <c r="AE129" s="195">
        <f>Tableau4[[#This Row],[Couverture 4 (%)]]*Tableau4[[#This Row],[Nombres appareils installés]]</f>
        <v>1.1949093587592585</v>
      </c>
      <c r="AF129" s="194">
        <f>Tableau4[[#This Row],[AF 4 par appareil  ($)]]/Tableau4[[#This Row],[Surcoût par appareil ($)]]</f>
        <v>0.59745467937962926</v>
      </c>
    </row>
    <row r="130" spans="2:32" x14ac:dyDescent="0.3">
      <c r="B130" s="196" t="s">
        <v>283</v>
      </c>
      <c r="C130" s="189" t="s">
        <v>216</v>
      </c>
      <c r="D130" s="189">
        <v>6</v>
      </c>
      <c r="E130" s="189">
        <v>180000</v>
      </c>
      <c r="F130" s="197">
        <f>Tableau4[[#This Row],[Economies totales (m3)]]/Tableau4[[#This Row],[Nombres appareils installés]]</f>
        <v>909</v>
      </c>
      <c r="G130" s="191">
        <v>5454</v>
      </c>
      <c r="H130" s="189">
        <f t="shared" si="2"/>
        <v>2487.4</v>
      </c>
      <c r="I130" s="189">
        <v>2400</v>
      </c>
      <c r="J130" s="189">
        <f>Tableau4[[#This Row],[Surcoût moyens de l''équipement ($)]]+Tableau4[[#This Row],[Surcoût moyen de l''installation ($)]]</f>
        <v>4887.3999999999996</v>
      </c>
      <c r="K130" s="189">
        <f>Tableau4[[#This Row],[Surcoût par appareil ($)]]*Tableau4[[#This Row],[Nombres appareils installés]]</f>
        <v>29324.399999999998</v>
      </c>
      <c r="L130" s="191">
        <v>10200</v>
      </c>
      <c r="M130" s="189">
        <f t="shared" si="3"/>
        <v>10800</v>
      </c>
      <c r="N130" s="189">
        <f>Tableau4[[#This Row],[AF 0 ($)]]/Tableau4[[#This Row],[Nombres appareils installés]]</f>
        <v>1800</v>
      </c>
      <c r="O130" s="192">
        <f>(Tableau4[[#This Row],[AF accordée ($)]])/($J$6*D130)</f>
        <v>0.42463905680171854</v>
      </c>
      <c r="P130" s="192">
        <f>Tableau4[[#This Row],[Couverture 0 (%)]]*Tableau4[[#This Row],[Nombres appareils installés]]</f>
        <v>2.5478343408103115</v>
      </c>
      <c r="Q130" s="189">
        <f>($Q$4+$R$4*(Tableau4[[#This Row],[Capacité (BTU)]]/1000))*Tableau4[[#This Row],[Nombres appareils installés]]</f>
        <v>17400</v>
      </c>
      <c r="R130" s="189">
        <f>Tableau4[[#This Row],[AF 1 ($)]]/Tableau4[[#This Row],[Nombres appareils installés]]</f>
        <v>2900</v>
      </c>
      <c r="S130" s="192">
        <f>Tableau4[[#This Row],[AF 1 ($)]]/(J130*D130)</f>
        <v>0.59336252404141265</v>
      </c>
      <c r="T130" s="192">
        <f>Tableau4[[#This Row],[Couverture 1 (%)]]*Tableau4[[#This Row],[Nombres appareils installés]]</f>
        <v>3.5601751442484759</v>
      </c>
      <c r="U130" s="189">
        <f>($U$4+($V$4*(Tableau4[[#This Row],[Capacité (BTU)]]/1000)))*Tableau4[[#This Row],[Nombres appareils installés]]</f>
        <v>20100</v>
      </c>
      <c r="V130" s="189">
        <f>Tableau4[[#This Row],[AF 2 ($)]]/Tableau4[[#This Row],[Nombres appareils installés]]</f>
        <v>3350</v>
      </c>
      <c r="W130" s="193">
        <f>Tableau4[[#This Row],[AF 2 par appareil ($)]]/Tableau4[[#This Row],[Surcoût par appareil ($)]]</f>
        <v>0.68543601915128705</v>
      </c>
      <c r="X130" s="193">
        <f>Tableau4[[#This Row],[Couverture 2 (%)]]*Tableau4[[#This Row],[Nombres appareils installés]]</f>
        <v>4.1126161149077225</v>
      </c>
      <c r="Y130" s="189">
        <f>($Y$4+$Z$4*(Tableau4[[#This Row],[Capacité (BTU)]]/1000))*Tableau4[[#This Row],[Nombres appareils installés]]</f>
        <v>20400</v>
      </c>
      <c r="Z130" s="189">
        <f>Tableau4[[#This Row],[AF 3 ($)]]/Tableau4[[#This Row],[Nombres appareils installés]]</f>
        <v>3400</v>
      </c>
      <c r="AA130" s="194">
        <f>Tableau4[[#This Row],[AF 3 par appareil ($)]]/Tableau4[[#This Row],[Surcoût par appareil ($)]]</f>
        <v>0.69566640749682862</v>
      </c>
      <c r="AB130" s="194">
        <f>Tableau4[[#This Row],[Couverture 3 (%)]]*Tableau4[[#This Row],[Nombres appareils installés]]</f>
        <v>4.1739984449809722</v>
      </c>
      <c r="AC130" s="189">
        <f>($AC$4+$AD$4*(Tableau4[[#This Row],[Capacité (BTU)]]/1000))*Tableau4[[#This Row],[Nombres appareils installés]]</f>
        <v>17520</v>
      </c>
      <c r="AD130" s="189">
        <f>Tableau4[[#This Row],[AF 4 ($)]]/Tableau4[[#This Row],[Nombres appareils installés]]</f>
        <v>2920</v>
      </c>
      <c r="AE130" s="195">
        <f>Tableau4[[#This Row],[Couverture 4 (%)]]*Tableau4[[#This Row],[Nombres appareils installés]]</f>
        <v>3.5847280762777753</v>
      </c>
      <c r="AF130" s="194">
        <f>Tableau4[[#This Row],[AF 4 par appareil  ($)]]/Tableau4[[#This Row],[Surcoût par appareil ($)]]</f>
        <v>0.59745467937962926</v>
      </c>
    </row>
    <row r="131" spans="2:32" x14ac:dyDescent="0.3">
      <c r="B131" s="196" t="s">
        <v>283</v>
      </c>
      <c r="C131" s="189" t="s">
        <v>298</v>
      </c>
      <c r="D131" s="189">
        <v>2</v>
      </c>
      <c r="E131" s="189">
        <v>200000</v>
      </c>
      <c r="F131" s="197">
        <f>Tableau4[[#This Row],[Economies totales (m3)]]/Tableau4[[#This Row],[Nombres appareils installés]]</f>
        <v>1010</v>
      </c>
      <c r="G131" s="191">
        <v>2020</v>
      </c>
      <c r="H131" s="189">
        <f t="shared" si="2"/>
        <v>2713.4</v>
      </c>
      <c r="I131" s="189">
        <v>2400</v>
      </c>
      <c r="J131" s="189">
        <f>Tableau4[[#This Row],[Surcoût moyens de l''équipement ($)]]+Tableau4[[#This Row],[Surcoût moyen de l''installation ($)]]</f>
        <v>5113.3999999999996</v>
      </c>
      <c r="K131" s="189">
        <f>Tableau4[[#This Row],[Surcoût par appareil ($)]]*Tableau4[[#This Row],[Nombres appareils installés]]</f>
        <v>10226.799999999999</v>
      </c>
      <c r="L131" s="191">
        <v>3800</v>
      </c>
      <c r="M131" s="189">
        <f t="shared" si="3"/>
        <v>3800</v>
      </c>
      <c r="N131" s="189">
        <f>Tableau4[[#This Row],[AF 0 ($)]]/Tableau4[[#This Row],[Nombres appareils installés]]</f>
        <v>1900</v>
      </c>
      <c r="O131" s="192">
        <f>(Tableau4[[#This Row],[AF accordée ($)]])/($J$6*D131)</f>
        <v>0.47459659289603834</v>
      </c>
      <c r="P131" s="192">
        <f>Tableau4[[#This Row],[Couverture 0 (%)]]*Tableau4[[#This Row],[Nombres appareils installés]]</f>
        <v>0.94919318579207668</v>
      </c>
      <c r="Q131" s="189">
        <f>($Q$4+$R$4*(Tableau4[[#This Row],[Capacité (BTU)]]/1000))*Tableau4[[#This Row],[Nombres appareils installés]]</f>
        <v>6000</v>
      </c>
      <c r="R131" s="189">
        <f>Tableau4[[#This Row],[AF 1 ($)]]/Tableau4[[#This Row],[Nombres appareils installés]]</f>
        <v>3000</v>
      </c>
      <c r="S131" s="192">
        <f>Tableau4[[#This Row],[AF 1 ($)]]/(J131*D131)</f>
        <v>0.58669378495717139</v>
      </c>
      <c r="T131" s="192">
        <f>Tableau4[[#This Row],[Couverture 1 (%)]]*Tableau4[[#This Row],[Nombres appareils installés]]</f>
        <v>1.1733875699143428</v>
      </c>
      <c r="U131" s="189">
        <f>($U$4+($V$4*(Tableau4[[#This Row],[Capacité (BTU)]]/1000)))*Tableau4[[#This Row],[Nombres appareils installés]]</f>
        <v>7000</v>
      </c>
      <c r="V131" s="189">
        <f>Tableau4[[#This Row],[AF 2 ($)]]/Tableau4[[#This Row],[Nombres appareils installés]]</f>
        <v>3500</v>
      </c>
      <c r="W131" s="193">
        <f>Tableau4[[#This Row],[AF 2 par appareil ($)]]/Tableau4[[#This Row],[Surcoût par appareil ($)]]</f>
        <v>0.68447608245003333</v>
      </c>
      <c r="X131" s="193">
        <f>Tableau4[[#This Row],[Couverture 2 (%)]]*Tableau4[[#This Row],[Nombres appareils installés]]</f>
        <v>1.3689521649000667</v>
      </c>
      <c r="Y131" s="189">
        <f>($Y$4+$Z$4*(Tableau4[[#This Row],[Capacité (BTU)]]/1000))*Tableau4[[#This Row],[Nombres appareils installés]]</f>
        <v>7000</v>
      </c>
      <c r="Z131" s="189">
        <f>Tableau4[[#This Row],[AF 3 ($)]]/Tableau4[[#This Row],[Nombres appareils installés]]</f>
        <v>3500</v>
      </c>
      <c r="AA131" s="194">
        <f>Tableau4[[#This Row],[AF 3 par appareil ($)]]/Tableau4[[#This Row],[Surcoût par appareil ($)]]</f>
        <v>0.68447608245003333</v>
      </c>
      <c r="AB131" s="194">
        <f>Tableau4[[#This Row],[Couverture 3 (%)]]*Tableau4[[#This Row],[Nombres appareils installés]]</f>
        <v>1.3689521649000667</v>
      </c>
      <c r="AC131" s="189">
        <f>($AC$4+$AD$4*(Tableau4[[#This Row],[Capacité (BTU)]]/1000))*Tableau4[[#This Row],[Nombres appareils installés]]</f>
        <v>6000</v>
      </c>
      <c r="AD131" s="189">
        <f>Tableau4[[#This Row],[AF 4 ($)]]/Tableau4[[#This Row],[Nombres appareils installés]]</f>
        <v>3000</v>
      </c>
      <c r="AE131" s="195">
        <f>Tableau4[[#This Row],[Couverture 4 (%)]]*Tableau4[[#This Row],[Nombres appareils installés]]</f>
        <v>1.1733875699143428</v>
      </c>
      <c r="AF131" s="194">
        <f>Tableau4[[#This Row],[AF 4 par appareil  ($)]]/Tableau4[[#This Row],[Surcoût par appareil ($)]]</f>
        <v>0.58669378495717139</v>
      </c>
    </row>
    <row r="132" spans="2:32" x14ac:dyDescent="0.3">
      <c r="B132" s="196" t="s">
        <v>283</v>
      </c>
      <c r="C132" s="189" t="s">
        <v>299</v>
      </c>
      <c r="D132" s="189">
        <v>4</v>
      </c>
      <c r="E132" s="189">
        <v>200000</v>
      </c>
      <c r="F132" s="197">
        <f>Tableau4[[#This Row],[Economies totales (m3)]]/Tableau4[[#This Row],[Nombres appareils installés]]</f>
        <v>1010</v>
      </c>
      <c r="G132" s="191">
        <v>4040</v>
      </c>
      <c r="H132" s="189">
        <f t="shared" si="2"/>
        <v>2713.4</v>
      </c>
      <c r="I132" s="189">
        <v>2400</v>
      </c>
      <c r="J132" s="189">
        <f>Tableau4[[#This Row],[Surcoût moyens de l''équipement ($)]]+Tableau4[[#This Row],[Surcoût moyen de l''installation ($)]]</f>
        <v>5113.3999999999996</v>
      </c>
      <c r="K132" s="189">
        <f>Tableau4[[#This Row],[Surcoût par appareil ($)]]*Tableau4[[#This Row],[Nombres appareils installés]]</f>
        <v>20453.599999999999</v>
      </c>
      <c r="L132" s="191">
        <v>6800</v>
      </c>
      <c r="M132" s="189">
        <f t="shared" si="3"/>
        <v>7600</v>
      </c>
      <c r="N132" s="189">
        <f>Tableau4[[#This Row],[AF 0 ($)]]/Tableau4[[#This Row],[Nombres appareils installés]]</f>
        <v>1900</v>
      </c>
      <c r="O132" s="192">
        <f>(Tableau4[[#This Row],[AF accordée ($)]])/($J$6*D132)</f>
        <v>0.42463905680171854</v>
      </c>
      <c r="P132" s="192">
        <f>Tableau4[[#This Row],[Couverture 0 (%)]]*Tableau4[[#This Row],[Nombres appareils installés]]</f>
        <v>1.6985562272068742</v>
      </c>
      <c r="Q132" s="189">
        <f>($Q$4+$R$4*(Tableau4[[#This Row],[Capacité (BTU)]]/1000))*Tableau4[[#This Row],[Nombres appareils installés]]</f>
        <v>12000</v>
      </c>
      <c r="R132" s="189">
        <f>Tableau4[[#This Row],[AF 1 ($)]]/Tableau4[[#This Row],[Nombres appareils installés]]</f>
        <v>3000</v>
      </c>
      <c r="S132" s="192">
        <f>Tableau4[[#This Row],[AF 1 ($)]]/(J132*D132)</f>
        <v>0.58669378495717139</v>
      </c>
      <c r="T132" s="192">
        <f>Tableau4[[#This Row],[Couverture 1 (%)]]*Tableau4[[#This Row],[Nombres appareils installés]]</f>
        <v>2.3467751398286856</v>
      </c>
      <c r="U132" s="189">
        <f>($U$4+($V$4*(Tableau4[[#This Row],[Capacité (BTU)]]/1000)))*Tableau4[[#This Row],[Nombres appareils installés]]</f>
        <v>14000</v>
      </c>
      <c r="V132" s="189">
        <f>Tableau4[[#This Row],[AF 2 ($)]]/Tableau4[[#This Row],[Nombres appareils installés]]</f>
        <v>3500</v>
      </c>
      <c r="W132" s="193">
        <f>Tableau4[[#This Row],[AF 2 par appareil ($)]]/Tableau4[[#This Row],[Surcoût par appareil ($)]]</f>
        <v>0.68447608245003333</v>
      </c>
      <c r="X132" s="193">
        <f>Tableau4[[#This Row],[Couverture 2 (%)]]*Tableau4[[#This Row],[Nombres appareils installés]]</f>
        <v>2.7379043298001333</v>
      </c>
      <c r="Y132" s="189">
        <f>($Y$4+$Z$4*(Tableau4[[#This Row],[Capacité (BTU)]]/1000))*Tableau4[[#This Row],[Nombres appareils installés]]</f>
        <v>14000</v>
      </c>
      <c r="Z132" s="189">
        <f>Tableau4[[#This Row],[AF 3 ($)]]/Tableau4[[#This Row],[Nombres appareils installés]]</f>
        <v>3500</v>
      </c>
      <c r="AA132" s="194">
        <f>Tableau4[[#This Row],[AF 3 par appareil ($)]]/Tableau4[[#This Row],[Surcoût par appareil ($)]]</f>
        <v>0.68447608245003333</v>
      </c>
      <c r="AB132" s="194">
        <f>Tableau4[[#This Row],[Couverture 3 (%)]]*Tableau4[[#This Row],[Nombres appareils installés]]</f>
        <v>2.7379043298001333</v>
      </c>
      <c r="AC132" s="189">
        <f>($AC$4+$AD$4*(Tableau4[[#This Row],[Capacité (BTU)]]/1000))*Tableau4[[#This Row],[Nombres appareils installés]]</f>
        <v>12000</v>
      </c>
      <c r="AD132" s="189">
        <f>Tableau4[[#This Row],[AF 4 ($)]]/Tableau4[[#This Row],[Nombres appareils installés]]</f>
        <v>3000</v>
      </c>
      <c r="AE132" s="195">
        <f>Tableau4[[#This Row],[Couverture 4 (%)]]*Tableau4[[#This Row],[Nombres appareils installés]]</f>
        <v>2.3467751398286856</v>
      </c>
      <c r="AF132" s="194">
        <f>Tableau4[[#This Row],[AF 4 par appareil  ($)]]/Tableau4[[#This Row],[Surcoût par appareil ($)]]</f>
        <v>0.58669378495717139</v>
      </c>
    </row>
    <row r="133" spans="2:32" x14ac:dyDescent="0.3">
      <c r="B133" s="196" t="s">
        <v>283</v>
      </c>
      <c r="C133" s="189" t="s">
        <v>291</v>
      </c>
      <c r="D133" s="189">
        <v>1</v>
      </c>
      <c r="E133" s="189">
        <v>215000</v>
      </c>
      <c r="F133" s="197">
        <f>Tableau4[[#This Row],[Economies totales (m3)]]/Tableau4[[#This Row],[Nombres appareils installés]]</f>
        <v>1085.75</v>
      </c>
      <c r="G133" s="191">
        <v>1085.75</v>
      </c>
      <c r="H133" s="189">
        <f t="shared" si="2"/>
        <v>2898.6499999999996</v>
      </c>
      <c r="I133" s="189">
        <v>2400</v>
      </c>
      <c r="J133" s="189">
        <f>Tableau4[[#This Row],[Surcoût moyens de l''équipement ($)]]+Tableau4[[#This Row],[Surcoût moyen de l''installation ($)]]</f>
        <v>5298.65</v>
      </c>
      <c r="K133" s="189">
        <f>Tableau4[[#This Row],[Surcoût par appareil ($)]]*Tableau4[[#This Row],[Nombres appareils installés]]</f>
        <v>5298.65</v>
      </c>
      <c r="L133" s="191">
        <v>1700</v>
      </c>
      <c r="M133" s="189">
        <f t="shared" si="3"/>
        <v>1975</v>
      </c>
      <c r="N133" s="189">
        <f>Tableau4[[#This Row],[AF 0 ($)]]/Tableau4[[#This Row],[Nombres appareils installés]]</f>
        <v>1975</v>
      </c>
      <c r="O133" s="192">
        <f>(Tableau4[[#This Row],[AF accordée ($)]])/($J$6*D133)</f>
        <v>0.42463905680171854</v>
      </c>
      <c r="P133" s="192">
        <f>Tableau4[[#This Row],[Couverture 0 (%)]]*Tableau4[[#This Row],[Nombres appareils installés]]</f>
        <v>0.42463905680171854</v>
      </c>
      <c r="Q133" s="189">
        <f>($Q$4+$R$4*(Tableau4[[#This Row],[Capacité (BTU)]]/1000))*Tableau4[[#This Row],[Nombres appareils installés]]</f>
        <v>3075</v>
      </c>
      <c r="R133" s="189">
        <f>Tableau4[[#This Row],[AF 1 ($)]]/Tableau4[[#This Row],[Nombres appareils installés]]</f>
        <v>3075</v>
      </c>
      <c r="S133" s="192">
        <f>Tableau4[[#This Row],[AF 1 ($)]]/(J133*D133)</f>
        <v>0.58033650080680932</v>
      </c>
      <c r="T133" s="192">
        <f>Tableau4[[#This Row],[Couverture 1 (%)]]*Tableau4[[#This Row],[Nombres appareils installés]]</f>
        <v>0.58033650080680932</v>
      </c>
      <c r="U133" s="189">
        <f>($U$4+($V$4*(Tableau4[[#This Row],[Capacité (BTU)]]/1000)))*Tableau4[[#This Row],[Nombres appareils installés]]</f>
        <v>3612.5</v>
      </c>
      <c r="V133" s="189">
        <f>Tableau4[[#This Row],[AF 2 ($)]]/Tableau4[[#This Row],[Nombres appareils installés]]</f>
        <v>3612.5</v>
      </c>
      <c r="W133" s="193">
        <f>Tableau4[[#This Row],[AF 2 par appareil ($)]]/Tableau4[[#This Row],[Surcoût par appareil ($)]]</f>
        <v>0.68177743387466627</v>
      </c>
      <c r="X133" s="193">
        <f>Tableau4[[#This Row],[Couverture 2 (%)]]*Tableau4[[#This Row],[Nombres appareils installés]]</f>
        <v>0.68177743387466627</v>
      </c>
      <c r="Y133" s="189">
        <f>($Y$4+$Z$4*(Tableau4[[#This Row],[Capacité (BTU)]]/1000))*Tableau4[[#This Row],[Nombres appareils installés]]</f>
        <v>3575</v>
      </c>
      <c r="Z133" s="189">
        <f>Tableau4[[#This Row],[AF 3 ($)]]/Tableau4[[#This Row],[Nombres appareils installés]]</f>
        <v>3575</v>
      </c>
      <c r="AA133" s="194">
        <f>Tableau4[[#This Row],[AF 3 par appareil ($)]]/Tableau4[[#This Row],[Surcoût par appareil ($)]]</f>
        <v>0.67470015947458317</v>
      </c>
      <c r="AB133" s="194">
        <f>Tableau4[[#This Row],[Couverture 3 (%)]]*Tableau4[[#This Row],[Nombres appareils installés]]</f>
        <v>0.67470015947458317</v>
      </c>
      <c r="AC133" s="189">
        <f>($AC$4+$AD$4*(Tableau4[[#This Row],[Capacité (BTU)]]/1000))*Tableau4[[#This Row],[Nombres appareils installés]]</f>
        <v>3060</v>
      </c>
      <c r="AD133" s="189">
        <f>Tableau4[[#This Row],[AF 4 ($)]]/Tableau4[[#This Row],[Nombres appareils installés]]</f>
        <v>3060</v>
      </c>
      <c r="AE133" s="195">
        <f>Tableau4[[#This Row],[Couverture 4 (%)]]*Tableau4[[#This Row],[Nombres appareils installés]]</f>
        <v>0.57750559104677612</v>
      </c>
      <c r="AF133" s="194">
        <f>Tableau4[[#This Row],[AF 4 par appareil  ($)]]/Tableau4[[#This Row],[Surcoût par appareil ($)]]</f>
        <v>0.57750559104677612</v>
      </c>
    </row>
    <row r="134" spans="2:32" x14ac:dyDescent="0.3">
      <c r="B134" s="196" t="s">
        <v>283</v>
      </c>
      <c r="C134" s="189" t="s">
        <v>300</v>
      </c>
      <c r="D134" s="189">
        <v>10</v>
      </c>
      <c r="E134" s="189">
        <v>215000</v>
      </c>
      <c r="F134" s="197">
        <f>Tableau4[[#This Row],[Economies totales (m3)]]/Tableau4[[#This Row],[Nombres appareils installés]]</f>
        <v>1085.75</v>
      </c>
      <c r="G134" s="191">
        <v>10857.5</v>
      </c>
      <c r="H134" s="189">
        <f t="shared" ref="H134:H187" si="4">(0.00000003*E134^2 - 0.0001*E134 + 1533.4)</f>
        <v>2898.6499999999996</v>
      </c>
      <c r="I134" s="189">
        <v>2400</v>
      </c>
      <c r="J134" s="189">
        <f>Tableau4[[#This Row],[Surcoût moyens de l''équipement ($)]]+Tableau4[[#This Row],[Surcoût moyen de l''installation ($)]]</f>
        <v>5298.65</v>
      </c>
      <c r="K134" s="189">
        <f>Tableau4[[#This Row],[Surcoût par appareil ($)]]*Tableau4[[#This Row],[Nombres appareils installés]]</f>
        <v>52986.5</v>
      </c>
      <c r="L134" s="191">
        <v>17000</v>
      </c>
      <c r="M134" s="189">
        <f t="shared" ref="M134:M187" si="5">($M$4+$N$4*(E134/1000))*D134</f>
        <v>19750</v>
      </c>
      <c r="N134" s="189">
        <f>Tableau4[[#This Row],[AF 0 ($)]]/Tableau4[[#This Row],[Nombres appareils installés]]</f>
        <v>1975</v>
      </c>
      <c r="O134" s="192">
        <f>(Tableau4[[#This Row],[AF accordée ($)]])/($J$6*D134)</f>
        <v>0.42463905680171854</v>
      </c>
      <c r="P134" s="192">
        <f>Tableau4[[#This Row],[Couverture 0 (%)]]*Tableau4[[#This Row],[Nombres appareils installés]]</f>
        <v>4.2463905680171852</v>
      </c>
      <c r="Q134" s="189">
        <f>($Q$4+$R$4*(Tableau4[[#This Row],[Capacité (BTU)]]/1000))*Tableau4[[#This Row],[Nombres appareils installés]]</f>
        <v>30750</v>
      </c>
      <c r="R134" s="189">
        <f>Tableau4[[#This Row],[AF 1 ($)]]/Tableau4[[#This Row],[Nombres appareils installés]]</f>
        <v>3075</v>
      </c>
      <c r="S134" s="192">
        <f>Tableau4[[#This Row],[AF 1 ($)]]/(J134*D134)</f>
        <v>0.58033650080680932</v>
      </c>
      <c r="T134" s="192">
        <f>Tableau4[[#This Row],[Couverture 1 (%)]]*Tableau4[[#This Row],[Nombres appareils installés]]</f>
        <v>5.8033650080680932</v>
      </c>
      <c r="U134" s="189">
        <f>($U$4+($V$4*(Tableau4[[#This Row],[Capacité (BTU)]]/1000)))*Tableau4[[#This Row],[Nombres appareils installés]]</f>
        <v>36125</v>
      </c>
      <c r="V134" s="189">
        <f>Tableau4[[#This Row],[AF 2 ($)]]/Tableau4[[#This Row],[Nombres appareils installés]]</f>
        <v>3612.5</v>
      </c>
      <c r="W134" s="193">
        <f>Tableau4[[#This Row],[AF 2 par appareil ($)]]/Tableau4[[#This Row],[Surcoût par appareil ($)]]</f>
        <v>0.68177743387466627</v>
      </c>
      <c r="X134" s="193">
        <f>Tableau4[[#This Row],[Couverture 2 (%)]]*Tableau4[[#This Row],[Nombres appareils installés]]</f>
        <v>6.8177743387466627</v>
      </c>
      <c r="Y134" s="189">
        <f>($Y$4+$Z$4*(Tableau4[[#This Row],[Capacité (BTU)]]/1000))*Tableau4[[#This Row],[Nombres appareils installés]]</f>
        <v>35750</v>
      </c>
      <c r="Z134" s="189">
        <f>Tableau4[[#This Row],[AF 3 ($)]]/Tableau4[[#This Row],[Nombres appareils installés]]</f>
        <v>3575</v>
      </c>
      <c r="AA134" s="194">
        <f>Tableau4[[#This Row],[AF 3 par appareil ($)]]/Tableau4[[#This Row],[Surcoût par appareil ($)]]</f>
        <v>0.67470015947458317</v>
      </c>
      <c r="AB134" s="194">
        <f>Tableau4[[#This Row],[Couverture 3 (%)]]*Tableau4[[#This Row],[Nombres appareils installés]]</f>
        <v>6.7470015947458322</v>
      </c>
      <c r="AC134" s="189">
        <f>($AC$4+$AD$4*(Tableau4[[#This Row],[Capacité (BTU)]]/1000))*Tableau4[[#This Row],[Nombres appareils installés]]</f>
        <v>30600</v>
      </c>
      <c r="AD134" s="189">
        <f>Tableau4[[#This Row],[AF 4 ($)]]/Tableau4[[#This Row],[Nombres appareils installés]]</f>
        <v>3060</v>
      </c>
      <c r="AE134" s="195">
        <f>Tableau4[[#This Row],[Couverture 4 (%)]]*Tableau4[[#This Row],[Nombres appareils installés]]</f>
        <v>5.7750559104677617</v>
      </c>
      <c r="AF134" s="194">
        <f>Tableau4[[#This Row],[AF 4 par appareil  ($)]]/Tableau4[[#This Row],[Surcoût par appareil ($)]]</f>
        <v>0.57750559104677612</v>
      </c>
    </row>
    <row r="135" spans="2:32" x14ac:dyDescent="0.3">
      <c r="B135" s="196" t="s">
        <v>283</v>
      </c>
      <c r="C135" s="189" t="s">
        <v>291</v>
      </c>
      <c r="D135" s="189">
        <v>1</v>
      </c>
      <c r="E135" s="189">
        <v>260000</v>
      </c>
      <c r="F135" s="197">
        <f>Tableau4[[#This Row],[Economies totales (m3)]]/Tableau4[[#This Row],[Nombres appareils installés]]</f>
        <v>1313</v>
      </c>
      <c r="G135" s="191">
        <v>1313</v>
      </c>
      <c r="H135" s="189">
        <f t="shared" si="4"/>
        <v>3535.3999999999996</v>
      </c>
      <c r="I135" s="189">
        <v>2400</v>
      </c>
      <c r="J135" s="189">
        <f>Tableau4[[#This Row],[Surcoût moyens de l''équipement ($)]]+Tableau4[[#This Row],[Surcoût moyen de l''installation ($)]]</f>
        <v>5935.4</v>
      </c>
      <c r="K135" s="189">
        <f>Tableau4[[#This Row],[Surcoût par appareil ($)]]*Tableau4[[#This Row],[Nombres appareils installés]]</f>
        <v>5935.4</v>
      </c>
      <c r="L135" s="191">
        <v>1700</v>
      </c>
      <c r="M135" s="189">
        <f t="shared" si="5"/>
        <v>2200</v>
      </c>
      <c r="N135" s="189">
        <f>Tableau4[[#This Row],[AF 0 ($)]]/Tableau4[[#This Row],[Nombres appareils installés]]</f>
        <v>2200</v>
      </c>
      <c r="O135" s="192">
        <f>(Tableau4[[#This Row],[AF accordée ($)]])/($J$6*D135)</f>
        <v>0.42463905680171854</v>
      </c>
      <c r="P135" s="192">
        <f>Tableau4[[#This Row],[Couverture 0 (%)]]*Tableau4[[#This Row],[Nombres appareils installés]]</f>
        <v>0.42463905680171854</v>
      </c>
      <c r="Q135" s="189">
        <f>($Q$4+$R$4*(Tableau4[[#This Row],[Capacité (BTU)]]/1000))*Tableau4[[#This Row],[Nombres appareils installés]]</f>
        <v>3300</v>
      </c>
      <c r="R135" s="189">
        <f>Tableau4[[#This Row],[AF 1 ($)]]/Tableau4[[#This Row],[Nombres appareils installés]]</f>
        <v>3300</v>
      </c>
      <c r="S135" s="192">
        <f>Tableau4[[#This Row],[AF 1 ($)]]/(J135*D135)</f>
        <v>0.55598611719513436</v>
      </c>
      <c r="T135" s="192">
        <f>Tableau4[[#This Row],[Couverture 1 (%)]]*Tableau4[[#This Row],[Nombres appareils installés]]</f>
        <v>0.55598611719513436</v>
      </c>
      <c r="U135" s="189">
        <f>($U$4+($V$4*(Tableau4[[#This Row],[Capacité (BTU)]]/1000)))*Tableau4[[#This Row],[Nombres appareils installés]]</f>
        <v>3950</v>
      </c>
      <c r="V135" s="189">
        <f>Tableau4[[#This Row],[AF 2 ($)]]/Tableau4[[#This Row],[Nombres appareils installés]]</f>
        <v>3950</v>
      </c>
      <c r="W135" s="193">
        <f>Tableau4[[#This Row],[AF 2 par appareil ($)]]/Tableau4[[#This Row],[Surcoût par appareil ($)]]</f>
        <v>0.66549853421841831</v>
      </c>
      <c r="X135" s="193">
        <f>Tableau4[[#This Row],[Couverture 2 (%)]]*Tableau4[[#This Row],[Nombres appareils installés]]</f>
        <v>0.66549853421841831</v>
      </c>
      <c r="Y135" s="189">
        <f>($Y$4+$Z$4*(Tableau4[[#This Row],[Capacité (BTU)]]/1000))*Tableau4[[#This Row],[Nombres appareils installés]]</f>
        <v>3800</v>
      </c>
      <c r="Z135" s="189">
        <f>Tableau4[[#This Row],[AF 3 ($)]]/Tableau4[[#This Row],[Nombres appareils installés]]</f>
        <v>3800</v>
      </c>
      <c r="AA135" s="194">
        <f>Tableau4[[#This Row],[AF 3 par appareil ($)]]/Tableau4[[#This Row],[Surcoût par appareil ($)]]</f>
        <v>0.64022643798227585</v>
      </c>
      <c r="AB135" s="194">
        <f>Tableau4[[#This Row],[Couverture 3 (%)]]*Tableau4[[#This Row],[Nombres appareils installés]]</f>
        <v>0.64022643798227585</v>
      </c>
      <c r="AC135" s="189">
        <f>($AC$4+$AD$4*(Tableau4[[#This Row],[Capacité (BTU)]]/1000))*Tableau4[[#This Row],[Nombres appareils installés]]</f>
        <v>3240</v>
      </c>
      <c r="AD135" s="189">
        <f>Tableau4[[#This Row],[AF 4 ($)]]/Tableau4[[#This Row],[Nombres appareils installés]]</f>
        <v>3240</v>
      </c>
      <c r="AE135" s="195">
        <f>Tableau4[[#This Row],[Couverture 4 (%)]]*Tableau4[[#This Row],[Nombres appareils installés]]</f>
        <v>0.54587727870067737</v>
      </c>
      <c r="AF135" s="194">
        <f>Tableau4[[#This Row],[AF 4 par appareil  ($)]]/Tableau4[[#This Row],[Surcoût par appareil ($)]]</f>
        <v>0.54587727870067737</v>
      </c>
    </row>
    <row r="136" spans="2:32" x14ac:dyDescent="0.3">
      <c r="B136" s="196" t="s">
        <v>283</v>
      </c>
      <c r="C136" s="189" t="s">
        <v>301</v>
      </c>
      <c r="D136" s="189">
        <v>1</v>
      </c>
      <c r="E136" s="189">
        <v>260000</v>
      </c>
      <c r="F136" s="197">
        <f>Tableau4[[#This Row],[Economies totales (m3)]]/Tableau4[[#This Row],[Nombres appareils installés]]</f>
        <v>1313</v>
      </c>
      <c r="G136" s="191">
        <v>1313</v>
      </c>
      <c r="H136" s="189">
        <f t="shared" si="4"/>
        <v>3535.3999999999996</v>
      </c>
      <c r="I136" s="189">
        <v>2400</v>
      </c>
      <c r="J136" s="189">
        <f>Tableau4[[#This Row],[Surcoût moyens de l''équipement ($)]]+Tableau4[[#This Row],[Surcoût moyen de l''installation ($)]]</f>
        <v>5935.4</v>
      </c>
      <c r="K136" s="189">
        <f>Tableau4[[#This Row],[Surcoût par appareil ($)]]*Tableau4[[#This Row],[Nombres appareils installés]]</f>
        <v>5935.4</v>
      </c>
      <c r="L136" s="191">
        <v>1700</v>
      </c>
      <c r="M136" s="189">
        <f t="shared" si="5"/>
        <v>2200</v>
      </c>
      <c r="N136" s="189">
        <f>Tableau4[[#This Row],[AF 0 ($)]]/Tableau4[[#This Row],[Nombres appareils installés]]</f>
        <v>2200</v>
      </c>
      <c r="O136" s="192">
        <f>(Tableau4[[#This Row],[AF accordée ($)]])/($J$6*D136)</f>
        <v>0.42463905680171854</v>
      </c>
      <c r="P136" s="192">
        <f>Tableau4[[#This Row],[Couverture 0 (%)]]*Tableau4[[#This Row],[Nombres appareils installés]]</f>
        <v>0.42463905680171854</v>
      </c>
      <c r="Q136" s="189">
        <f>($Q$4+$R$4*(Tableau4[[#This Row],[Capacité (BTU)]]/1000))*Tableau4[[#This Row],[Nombres appareils installés]]</f>
        <v>3300</v>
      </c>
      <c r="R136" s="189">
        <f>Tableau4[[#This Row],[AF 1 ($)]]/Tableau4[[#This Row],[Nombres appareils installés]]</f>
        <v>3300</v>
      </c>
      <c r="S136" s="192">
        <f>Tableau4[[#This Row],[AF 1 ($)]]/(J136*D136)</f>
        <v>0.55598611719513436</v>
      </c>
      <c r="T136" s="192">
        <f>Tableau4[[#This Row],[Couverture 1 (%)]]*Tableau4[[#This Row],[Nombres appareils installés]]</f>
        <v>0.55598611719513436</v>
      </c>
      <c r="U136" s="189">
        <f>($U$4+($V$4*(Tableau4[[#This Row],[Capacité (BTU)]]/1000)))*Tableau4[[#This Row],[Nombres appareils installés]]</f>
        <v>3950</v>
      </c>
      <c r="V136" s="189">
        <f>Tableau4[[#This Row],[AF 2 ($)]]/Tableau4[[#This Row],[Nombres appareils installés]]</f>
        <v>3950</v>
      </c>
      <c r="W136" s="193">
        <f>Tableau4[[#This Row],[AF 2 par appareil ($)]]/Tableau4[[#This Row],[Surcoût par appareil ($)]]</f>
        <v>0.66549853421841831</v>
      </c>
      <c r="X136" s="193">
        <f>Tableau4[[#This Row],[Couverture 2 (%)]]*Tableau4[[#This Row],[Nombres appareils installés]]</f>
        <v>0.66549853421841831</v>
      </c>
      <c r="Y136" s="189">
        <f>($Y$4+$Z$4*(Tableau4[[#This Row],[Capacité (BTU)]]/1000))*Tableau4[[#This Row],[Nombres appareils installés]]</f>
        <v>3800</v>
      </c>
      <c r="Z136" s="189">
        <f>Tableau4[[#This Row],[AF 3 ($)]]/Tableau4[[#This Row],[Nombres appareils installés]]</f>
        <v>3800</v>
      </c>
      <c r="AA136" s="194">
        <f>Tableau4[[#This Row],[AF 3 par appareil ($)]]/Tableau4[[#This Row],[Surcoût par appareil ($)]]</f>
        <v>0.64022643798227585</v>
      </c>
      <c r="AB136" s="194">
        <f>Tableau4[[#This Row],[Couverture 3 (%)]]*Tableau4[[#This Row],[Nombres appareils installés]]</f>
        <v>0.64022643798227585</v>
      </c>
      <c r="AC136" s="189">
        <f>($AC$4+$AD$4*(Tableau4[[#This Row],[Capacité (BTU)]]/1000))*Tableau4[[#This Row],[Nombres appareils installés]]</f>
        <v>3240</v>
      </c>
      <c r="AD136" s="189">
        <f>Tableau4[[#This Row],[AF 4 ($)]]/Tableau4[[#This Row],[Nombres appareils installés]]</f>
        <v>3240</v>
      </c>
      <c r="AE136" s="195">
        <f>Tableau4[[#This Row],[Couverture 4 (%)]]*Tableau4[[#This Row],[Nombres appareils installés]]</f>
        <v>0.54587727870067737</v>
      </c>
      <c r="AF136" s="194">
        <f>Tableau4[[#This Row],[AF 4 par appareil  ($)]]/Tableau4[[#This Row],[Surcoût par appareil ($)]]</f>
        <v>0.54587727870067737</v>
      </c>
    </row>
    <row r="137" spans="2:32" x14ac:dyDescent="0.3">
      <c r="B137" s="196" t="s">
        <v>283</v>
      </c>
      <c r="C137" s="189" t="s">
        <v>302</v>
      </c>
      <c r="D137" s="189">
        <v>1</v>
      </c>
      <c r="E137" s="189">
        <v>260000</v>
      </c>
      <c r="F137" s="197">
        <f>Tableau4[[#This Row],[Economies totales (m3)]]/Tableau4[[#This Row],[Nombres appareils installés]]</f>
        <v>1313</v>
      </c>
      <c r="G137" s="191">
        <v>1313</v>
      </c>
      <c r="H137" s="189">
        <f t="shared" si="4"/>
        <v>3535.3999999999996</v>
      </c>
      <c r="I137" s="189">
        <v>2400</v>
      </c>
      <c r="J137" s="189">
        <f>Tableau4[[#This Row],[Surcoût moyens de l''équipement ($)]]+Tableau4[[#This Row],[Surcoût moyen de l''installation ($)]]</f>
        <v>5935.4</v>
      </c>
      <c r="K137" s="189">
        <f>Tableau4[[#This Row],[Surcoût par appareil ($)]]*Tableau4[[#This Row],[Nombres appareils installés]]</f>
        <v>5935.4</v>
      </c>
      <c r="L137" s="191">
        <v>1700</v>
      </c>
      <c r="M137" s="189">
        <f t="shared" si="5"/>
        <v>2200</v>
      </c>
      <c r="N137" s="189">
        <f>Tableau4[[#This Row],[AF 0 ($)]]/Tableau4[[#This Row],[Nombres appareils installés]]</f>
        <v>2200</v>
      </c>
      <c r="O137" s="192">
        <f>(Tableau4[[#This Row],[AF accordée ($)]])/($J$6*D137)</f>
        <v>0.42463905680171854</v>
      </c>
      <c r="P137" s="192">
        <f>Tableau4[[#This Row],[Couverture 0 (%)]]*Tableau4[[#This Row],[Nombres appareils installés]]</f>
        <v>0.42463905680171854</v>
      </c>
      <c r="Q137" s="189">
        <f>($Q$4+$R$4*(Tableau4[[#This Row],[Capacité (BTU)]]/1000))*Tableau4[[#This Row],[Nombres appareils installés]]</f>
        <v>3300</v>
      </c>
      <c r="R137" s="189">
        <f>Tableau4[[#This Row],[AF 1 ($)]]/Tableau4[[#This Row],[Nombres appareils installés]]</f>
        <v>3300</v>
      </c>
      <c r="S137" s="192">
        <f>Tableau4[[#This Row],[AF 1 ($)]]/(J137*D137)</f>
        <v>0.55598611719513436</v>
      </c>
      <c r="T137" s="192">
        <f>Tableau4[[#This Row],[Couverture 1 (%)]]*Tableau4[[#This Row],[Nombres appareils installés]]</f>
        <v>0.55598611719513436</v>
      </c>
      <c r="U137" s="189">
        <f>($U$4+($V$4*(Tableau4[[#This Row],[Capacité (BTU)]]/1000)))*Tableau4[[#This Row],[Nombres appareils installés]]</f>
        <v>3950</v>
      </c>
      <c r="V137" s="189">
        <f>Tableau4[[#This Row],[AF 2 ($)]]/Tableau4[[#This Row],[Nombres appareils installés]]</f>
        <v>3950</v>
      </c>
      <c r="W137" s="193">
        <f>Tableau4[[#This Row],[AF 2 par appareil ($)]]/Tableau4[[#This Row],[Surcoût par appareil ($)]]</f>
        <v>0.66549853421841831</v>
      </c>
      <c r="X137" s="193">
        <f>Tableau4[[#This Row],[Couverture 2 (%)]]*Tableau4[[#This Row],[Nombres appareils installés]]</f>
        <v>0.66549853421841831</v>
      </c>
      <c r="Y137" s="189">
        <f>($Y$4+$Z$4*(Tableau4[[#This Row],[Capacité (BTU)]]/1000))*Tableau4[[#This Row],[Nombres appareils installés]]</f>
        <v>3800</v>
      </c>
      <c r="Z137" s="189">
        <f>Tableau4[[#This Row],[AF 3 ($)]]/Tableau4[[#This Row],[Nombres appareils installés]]</f>
        <v>3800</v>
      </c>
      <c r="AA137" s="194">
        <f>Tableau4[[#This Row],[AF 3 par appareil ($)]]/Tableau4[[#This Row],[Surcoût par appareil ($)]]</f>
        <v>0.64022643798227585</v>
      </c>
      <c r="AB137" s="194">
        <f>Tableau4[[#This Row],[Couverture 3 (%)]]*Tableau4[[#This Row],[Nombres appareils installés]]</f>
        <v>0.64022643798227585</v>
      </c>
      <c r="AC137" s="189">
        <f>($AC$4+$AD$4*(Tableau4[[#This Row],[Capacité (BTU)]]/1000))*Tableau4[[#This Row],[Nombres appareils installés]]</f>
        <v>3240</v>
      </c>
      <c r="AD137" s="189">
        <f>Tableau4[[#This Row],[AF 4 ($)]]/Tableau4[[#This Row],[Nombres appareils installés]]</f>
        <v>3240</v>
      </c>
      <c r="AE137" s="195">
        <f>Tableau4[[#This Row],[Couverture 4 (%)]]*Tableau4[[#This Row],[Nombres appareils installés]]</f>
        <v>0.54587727870067737</v>
      </c>
      <c r="AF137" s="194">
        <f>Tableau4[[#This Row],[AF 4 par appareil  ($)]]/Tableau4[[#This Row],[Surcoût par appareil ($)]]</f>
        <v>0.54587727870067737</v>
      </c>
    </row>
    <row r="138" spans="2:32" x14ac:dyDescent="0.3">
      <c r="B138" s="196" t="s">
        <v>283</v>
      </c>
      <c r="C138" s="189" t="s">
        <v>303</v>
      </c>
      <c r="D138" s="189">
        <v>2</v>
      </c>
      <c r="E138" s="189">
        <v>260000</v>
      </c>
      <c r="F138" s="197">
        <f>Tableau4[[#This Row],[Economies totales (m3)]]/Tableau4[[#This Row],[Nombres appareils installés]]</f>
        <v>1313</v>
      </c>
      <c r="G138" s="191">
        <v>2626</v>
      </c>
      <c r="H138" s="189">
        <f t="shared" si="4"/>
        <v>3535.3999999999996</v>
      </c>
      <c r="I138" s="189">
        <v>2400</v>
      </c>
      <c r="J138" s="189">
        <f>Tableau4[[#This Row],[Surcoût moyens de l''équipement ($)]]+Tableau4[[#This Row],[Surcoût moyen de l''installation ($)]]</f>
        <v>5935.4</v>
      </c>
      <c r="K138" s="189">
        <f>Tableau4[[#This Row],[Surcoût par appareil ($)]]*Tableau4[[#This Row],[Nombres appareils installés]]</f>
        <v>11870.8</v>
      </c>
      <c r="L138" s="191">
        <v>3400</v>
      </c>
      <c r="M138" s="189">
        <f t="shared" si="5"/>
        <v>4400</v>
      </c>
      <c r="N138" s="189">
        <f>Tableau4[[#This Row],[AF 0 ($)]]/Tableau4[[#This Row],[Nombres appareils installés]]</f>
        <v>2200</v>
      </c>
      <c r="O138" s="192">
        <f>(Tableau4[[#This Row],[AF accordée ($)]])/($J$6*D138)</f>
        <v>0.42463905680171854</v>
      </c>
      <c r="P138" s="192">
        <f>Tableau4[[#This Row],[Couverture 0 (%)]]*Tableau4[[#This Row],[Nombres appareils installés]]</f>
        <v>0.84927811360343708</v>
      </c>
      <c r="Q138" s="189">
        <f>($Q$4+$R$4*(Tableau4[[#This Row],[Capacité (BTU)]]/1000))*Tableau4[[#This Row],[Nombres appareils installés]]</f>
        <v>6600</v>
      </c>
      <c r="R138" s="189">
        <f>Tableau4[[#This Row],[AF 1 ($)]]/Tableau4[[#This Row],[Nombres appareils installés]]</f>
        <v>3300</v>
      </c>
      <c r="S138" s="192">
        <f>Tableau4[[#This Row],[AF 1 ($)]]/(J138*D138)</f>
        <v>0.55598611719513436</v>
      </c>
      <c r="T138" s="192">
        <f>Tableau4[[#This Row],[Couverture 1 (%)]]*Tableau4[[#This Row],[Nombres appareils installés]]</f>
        <v>1.1119722343902687</v>
      </c>
      <c r="U138" s="189">
        <f>($U$4+($V$4*(Tableau4[[#This Row],[Capacité (BTU)]]/1000)))*Tableau4[[#This Row],[Nombres appareils installés]]</f>
        <v>7900</v>
      </c>
      <c r="V138" s="189">
        <f>Tableau4[[#This Row],[AF 2 ($)]]/Tableau4[[#This Row],[Nombres appareils installés]]</f>
        <v>3950</v>
      </c>
      <c r="W138" s="193">
        <f>Tableau4[[#This Row],[AF 2 par appareil ($)]]/Tableau4[[#This Row],[Surcoût par appareil ($)]]</f>
        <v>0.66549853421841831</v>
      </c>
      <c r="X138" s="193">
        <f>Tableau4[[#This Row],[Couverture 2 (%)]]*Tableau4[[#This Row],[Nombres appareils installés]]</f>
        <v>1.3309970684368366</v>
      </c>
      <c r="Y138" s="189">
        <f>($Y$4+$Z$4*(Tableau4[[#This Row],[Capacité (BTU)]]/1000))*Tableau4[[#This Row],[Nombres appareils installés]]</f>
        <v>7600</v>
      </c>
      <c r="Z138" s="189">
        <f>Tableau4[[#This Row],[AF 3 ($)]]/Tableau4[[#This Row],[Nombres appareils installés]]</f>
        <v>3800</v>
      </c>
      <c r="AA138" s="194">
        <f>Tableau4[[#This Row],[AF 3 par appareil ($)]]/Tableau4[[#This Row],[Surcoût par appareil ($)]]</f>
        <v>0.64022643798227585</v>
      </c>
      <c r="AB138" s="194">
        <f>Tableau4[[#This Row],[Couverture 3 (%)]]*Tableau4[[#This Row],[Nombres appareils installés]]</f>
        <v>1.2804528759645517</v>
      </c>
      <c r="AC138" s="189">
        <f>($AC$4+$AD$4*(Tableau4[[#This Row],[Capacité (BTU)]]/1000))*Tableau4[[#This Row],[Nombres appareils installés]]</f>
        <v>6480</v>
      </c>
      <c r="AD138" s="189">
        <f>Tableau4[[#This Row],[AF 4 ($)]]/Tableau4[[#This Row],[Nombres appareils installés]]</f>
        <v>3240</v>
      </c>
      <c r="AE138" s="195">
        <f>Tableau4[[#This Row],[Couverture 4 (%)]]*Tableau4[[#This Row],[Nombres appareils installés]]</f>
        <v>1.0917545574013547</v>
      </c>
      <c r="AF138" s="194">
        <f>Tableau4[[#This Row],[AF 4 par appareil  ($)]]/Tableau4[[#This Row],[Surcoût par appareil ($)]]</f>
        <v>0.54587727870067737</v>
      </c>
    </row>
    <row r="139" spans="2:32" x14ac:dyDescent="0.3">
      <c r="B139" s="196" t="s">
        <v>283</v>
      </c>
      <c r="C139" s="189" t="s">
        <v>216</v>
      </c>
      <c r="D139" s="189">
        <v>2</v>
      </c>
      <c r="E139" s="189">
        <v>260000</v>
      </c>
      <c r="F139" s="197">
        <f>Tableau4[[#This Row],[Economies totales (m3)]]/Tableau4[[#This Row],[Nombres appareils installés]]</f>
        <v>1313</v>
      </c>
      <c r="G139" s="191">
        <v>2626</v>
      </c>
      <c r="H139" s="189">
        <f t="shared" si="4"/>
        <v>3535.3999999999996</v>
      </c>
      <c r="I139" s="189">
        <v>2400</v>
      </c>
      <c r="J139" s="189">
        <f>Tableau4[[#This Row],[Surcoût moyens de l''équipement ($)]]+Tableau4[[#This Row],[Surcoût moyen de l''installation ($)]]</f>
        <v>5935.4</v>
      </c>
      <c r="K139" s="189">
        <f>Tableau4[[#This Row],[Surcoût par appareil ($)]]*Tableau4[[#This Row],[Nombres appareils installés]]</f>
        <v>11870.8</v>
      </c>
      <c r="L139" s="191">
        <v>3400</v>
      </c>
      <c r="M139" s="189">
        <f t="shared" si="5"/>
        <v>4400</v>
      </c>
      <c r="N139" s="189">
        <f>Tableau4[[#This Row],[AF 0 ($)]]/Tableau4[[#This Row],[Nombres appareils installés]]</f>
        <v>2200</v>
      </c>
      <c r="O139" s="192">
        <f>(Tableau4[[#This Row],[AF accordée ($)]])/($J$6*D139)</f>
        <v>0.42463905680171854</v>
      </c>
      <c r="P139" s="192">
        <f>Tableau4[[#This Row],[Couverture 0 (%)]]*Tableau4[[#This Row],[Nombres appareils installés]]</f>
        <v>0.84927811360343708</v>
      </c>
      <c r="Q139" s="189">
        <f>($Q$4+$R$4*(Tableau4[[#This Row],[Capacité (BTU)]]/1000))*Tableau4[[#This Row],[Nombres appareils installés]]</f>
        <v>6600</v>
      </c>
      <c r="R139" s="189">
        <f>Tableau4[[#This Row],[AF 1 ($)]]/Tableau4[[#This Row],[Nombres appareils installés]]</f>
        <v>3300</v>
      </c>
      <c r="S139" s="192">
        <f>Tableau4[[#This Row],[AF 1 ($)]]/(J139*D139)</f>
        <v>0.55598611719513436</v>
      </c>
      <c r="T139" s="192">
        <f>Tableau4[[#This Row],[Couverture 1 (%)]]*Tableau4[[#This Row],[Nombres appareils installés]]</f>
        <v>1.1119722343902687</v>
      </c>
      <c r="U139" s="189">
        <f>($U$4+($V$4*(Tableau4[[#This Row],[Capacité (BTU)]]/1000)))*Tableau4[[#This Row],[Nombres appareils installés]]</f>
        <v>7900</v>
      </c>
      <c r="V139" s="189">
        <f>Tableau4[[#This Row],[AF 2 ($)]]/Tableau4[[#This Row],[Nombres appareils installés]]</f>
        <v>3950</v>
      </c>
      <c r="W139" s="193">
        <f>Tableau4[[#This Row],[AF 2 par appareil ($)]]/Tableau4[[#This Row],[Surcoût par appareil ($)]]</f>
        <v>0.66549853421841831</v>
      </c>
      <c r="X139" s="193">
        <f>Tableau4[[#This Row],[Couverture 2 (%)]]*Tableau4[[#This Row],[Nombres appareils installés]]</f>
        <v>1.3309970684368366</v>
      </c>
      <c r="Y139" s="189">
        <f>($Y$4+$Z$4*(Tableau4[[#This Row],[Capacité (BTU)]]/1000))*Tableau4[[#This Row],[Nombres appareils installés]]</f>
        <v>7600</v>
      </c>
      <c r="Z139" s="189">
        <f>Tableau4[[#This Row],[AF 3 ($)]]/Tableau4[[#This Row],[Nombres appareils installés]]</f>
        <v>3800</v>
      </c>
      <c r="AA139" s="194">
        <f>Tableau4[[#This Row],[AF 3 par appareil ($)]]/Tableau4[[#This Row],[Surcoût par appareil ($)]]</f>
        <v>0.64022643798227585</v>
      </c>
      <c r="AB139" s="194">
        <f>Tableau4[[#This Row],[Couverture 3 (%)]]*Tableau4[[#This Row],[Nombres appareils installés]]</f>
        <v>1.2804528759645517</v>
      </c>
      <c r="AC139" s="189">
        <f>($AC$4+$AD$4*(Tableau4[[#This Row],[Capacité (BTU)]]/1000))*Tableau4[[#This Row],[Nombres appareils installés]]</f>
        <v>6480</v>
      </c>
      <c r="AD139" s="189">
        <f>Tableau4[[#This Row],[AF 4 ($)]]/Tableau4[[#This Row],[Nombres appareils installés]]</f>
        <v>3240</v>
      </c>
      <c r="AE139" s="195">
        <f>Tableau4[[#This Row],[Couverture 4 (%)]]*Tableau4[[#This Row],[Nombres appareils installés]]</f>
        <v>1.0917545574013547</v>
      </c>
      <c r="AF139" s="194">
        <f>Tableau4[[#This Row],[AF 4 par appareil  ($)]]/Tableau4[[#This Row],[Surcoût par appareil ($)]]</f>
        <v>0.54587727870067737</v>
      </c>
    </row>
    <row r="140" spans="2:32" x14ac:dyDescent="0.3">
      <c r="B140" s="196" t="s">
        <v>283</v>
      </c>
      <c r="C140" s="189" t="s">
        <v>288</v>
      </c>
      <c r="D140" s="189">
        <v>6</v>
      </c>
      <c r="E140" s="189">
        <v>260000</v>
      </c>
      <c r="F140" s="197">
        <f>Tableau4[[#This Row],[Economies totales (m3)]]/Tableau4[[#This Row],[Nombres appareils installés]]</f>
        <v>1313</v>
      </c>
      <c r="G140" s="191">
        <v>7878</v>
      </c>
      <c r="H140" s="189">
        <f t="shared" si="4"/>
        <v>3535.3999999999996</v>
      </c>
      <c r="I140" s="189">
        <v>2400</v>
      </c>
      <c r="J140" s="189">
        <f>Tableau4[[#This Row],[Surcoût moyens de l''équipement ($)]]+Tableau4[[#This Row],[Surcoût moyen de l''installation ($)]]</f>
        <v>5935.4</v>
      </c>
      <c r="K140" s="189">
        <f>Tableau4[[#This Row],[Surcoût par appareil ($)]]*Tableau4[[#This Row],[Nombres appareils installés]]</f>
        <v>35612.399999999994</v>
      </c>
      <c r="L140" s="191">
        <v>13200</v>
      </c>
      <c r="M140" s="189">
        <f t="shared" si="5"/>
        <v>13200</v>
      </c>
      <c r="N140" s="189">
        <f>Tableau4[[#This Row],[AF 0 ($)]]/Tableau4[[#This Row],[Nombres appareils installés]]</f>
        <v>2200</v>
      </c>
      <c r="O140" s="192">
        <f>(Tableau4[[#This Row],[AF accordée ($)]])/($J$6*D140)</f>
        <v>0.54953289703751806</v>
      </c>
      <c r="P140" s="192">
        <f>Tableau4[[#This Row],[Couverture 0 (%)]]*Tableau4[[#This Row],[Nombres appareils installés]]</f>
        <v>3.2971973822251082</v>
      </c>
      <c r="Q140" s="189">
        <f>($Q$4+$R$4*(Tableau4[[#This Row],[Capacité (BTU)]]/1000))*Tableau4[[#This Row],[Nombres appareils installés]]</f>
        <v>19800</v>
      </c>
      <c r="R140" s="189">
        <f>Tableau4[[#This Row],[AF 1 ($)]]/Tableau4[[#This Row],[Nombres appareils installés]]</f>
        <v>3300</v>
      </c>
      <c r="S140" s="192">
        <f>Tableau4[[#This Row],[AF 1 ($)]]/(J140*D140)</f>
        <v>0.55598611719513436</v>
      </c>
      <c r="T140" s="192">
        <f>Tableau4[[#This Row],[Couverture 1 (%)]]*Tableau4[[#This Row],[Nombres appareils installés]]</f>
        <v>3.3359167031708061</v>
      </c>
      <c r="U140" s="189">
        <f>($U$4+($V$4*(Tableau4[[#This Row],[Capacité (BTU)]]/1000)))*Tableau4[[#This Row],[Nombres appareils installés]]</f>
        <v>23700</v>
      </c>
      <c r="V140" s="189">
        <f>Tableau4[[#This Row],[AF 2 ($)]]/Tableau4[[#This Row],[Nombres appareils installés]]</f>
        <v>3950</v>
      </c>
      <c r="W140" s="193">
        <f>Tableau4[[#This Row],[AF 2 par appareil ($)]]/Tableau4[[#This Row],[Surcoût par appareil ($)]]</f>
        <v>0.66549853421841831</v>
      </c>
      <c r="X140" s="193">
        <f>Tableau4[[#This Row],[Couverture 2 (%)]]*Tableau4[[#This Row],[Nombres appareils installés]]</f>
        <v>3.9929912053105099</v>
      </c>
      <c r="Y140" s="189">
        <f>($Y$4+$Z$4*(Tableau4[[#This Row],[Capacité (BTU)]]/1000))*Tableau4[[#This Row],[Nombres appareils installés]]</f>
        <v>22800</v>
      </c>
      <c r="Z140" s="189">
        <f>Tableau4[[#This Row],[AF 3 ($)]]/Tableau4[[#This Row],[Nombres appareils installés]]</f>
        <v>3800</v>
      </c>
      <c r="AA140" s="194">
        <f>Tableau4[[#This Row],[AF 3 par appareil ($)]]/Tableau4[[#This Row],[Surcoût par appareil ($)]]</f>
        <v>0.64022643798227585</v>
      </c>
      <c r="AB140" s="194">
        <f>Tableau4[[#This Row],[Couverture 3 (%)]]*Tableau4[[#This Row],[Nombres appareils installés]]</f>
        <v>3.8413586278936549</v>
      </c>
      <c r="AC140" s="189">
        <f>($AC$4+$AD$4*(Tableau4[[#This Row],[Capacité (BTU)]]/1000))*Tableau4[[#This Row],[Nombres appareils installés]]</f>
        <v>19440</v>
      </c>
      <c r="AD140" s="189">
        <f>Tableau4[[#This Row],[AF 4 ($)]]/Tableau4[[#This Row],[Nombres appareils installés]]</f>
        <v>3240</v>
      </c>
      <c r="AE140" s="195">
        <f>Tableau4[[#This Row],[Couverture 4 (%)]]*Tableau4[[#This Row],[Nombres appareils installés]]</f>
        <v>3.2752636722040642</v>
      </c>
      <c r="AF140" s="194">
        <f>Tableau4[[#This Row],[AF 4 par appareil  ($)]]/Tableau4[[#This Row],[Surcoût par appareil ($)]]</f>
        <v>0.54587727870067737</v>
      </c>
    </row>
    <row r="141" spans="2:32" x14ac:dyDescent="0.3">
      <c r="B141" s="196" t="s">
        <v>283</v>
      </c>
      <c r="C141" s="189" t="s">
        <v>304</v>
      </c>
      <c r="D141" s="189">
        <v>6</v>
      </c>
      <c r="E141" s="189">
        <v>260000</v>
      </c>
      <c r="F141" s="197">
        <f>Tableau4[[#This Row],[Economies totales (m3)]]/Tableau4[[#This Row],[Nombres appareils installés]]</f>
        <v>1313</v>
      </c>
      <c r="G141" s="191">
        <v>7878</v>
      </c>
      <c r="H141" s="189">
        <f t="shared" si="4"/>
        <v>3535.3999999999996</v>
      </c>
      <c r="I141" s="189">
        <v>2400</v>
      </c>
      <c r="J141" s="189">
        <f>Tableau4[[#This Row],[Surcoût moyens de l''équipement ($)]]+Tableau4[[#This Row],[Surcoût moyen de l''installation ($)]]</f>
        <v>5935.4</v>
      </c>
      <c r="K141" s="189">
        <f>Tableau4[[#This Row],[Surcoût par appareil ($)]]*Tableau4[[#This Row],[Nombres appareils installés]]</f>
        <v>35612.399999999994</v>
      </c>
      <c r="L141" s="191">
        <v>10200</v>
      </c>
      <c r="M141" s="189">
        <f t="shared" si="5"/>
        <v>13200</v>
      </c>
      <c r="N141" s="189">
        <f>Tableau4[[#This Row],[AF 0 ($)]]/Tableau4[[#This Row],[Nombres appareils installés]]</f>
        <v>2200</v>
      </c>
      <c r="O141" s="192">
        <f>(Tableau4[[#This Row],[AF accordée ($)]])/($J$6*D141)</f>
        <v>0.42463905680171854</v>
      </c>
      <c r="P141" s="192">
        <f>Tableau4[[#This Row],[Couverture 0 (%)]]*Tableau4[[#This Row],[Nombres appareils installés]]</f>
        <v>2.5478343408103115</v>
      </c>
      <c r="Q141" s="189">
        <f>($Q$4+$R$4*(Tableau4[[#This Row],[Capacité (BTU)]]/1000))*Tableau4[[#This Row],[Nombres appareils installés]]</f>
        <v>19800</v>
      </c>
      <c r="R141" s="189">
        <f>Tableau4[[#This Row],[AF 1 ($)]]/Tableau4[[#This Row],[Nombres appareils installés]]</f>
        <v>3300</v>
      </c>
      <c r="S141" s="192">
        <f>Tableau4[[#This Row],[AF 1 ($)]]/(J141*D141)</f>
        <v>0.55598611719513436</v>
      </c>
      <c r="T141" s="192">
        <f>Tableau4[[#This Row],[Couverture 1 (%)]]*Tableau4[[#This Row],[Nombres appareils installés]]</f>
        <v>3.3359167031708061</v>
      </c>
      <c r="U141" s="189">
        <f>($U$4+($V$4*(Tableau4[[#This Row],[Capacité (BTU)]]/1000)))*Tableau4[[#This Row],[Nombres appareils installés]]</f>
        <v>23700</v>
      </c>
      <c r="V141" s="189">
        <f>Tableau4[[#This Row],[AF 2 ($)]]/Tableau4[[#This Row],[Nombres appareils installés]]</f>
        <v>3950</v>
      </c>
      <c r="W141" s="193">
        <f>Tableau4[[#This Row],[AF 2 par appareil ($)]]/Tableau4[[#This Row],[Surcoût par appareil ($)]]</f>
        <v>0.66549853421841831</v>
      </c>
      <c r="X141" s="193">
        <f>Tableau4[[#This Row],[Couverture 2 (%)]]*Tableau4[[#This Row],[Nombres appareils installés]]</f>
        <v>3.9929912053105099</v>
      </c>
      <c r="Y141" s="189">
        <f>($Y$4+$Z$4*(Tableau4[[#This Row],[Capacité (BTU)]]/1000))*Tableau4[[#This Row],[Nombres appareils installés]]</f>
        <v>22800</v>
      </c>
      <c r="Z141" s="189">
        <f>Tableau4[[#This Row],[AF 3 ($)]]/Tableau4[[#This Row],[Nombres appareils installés]]</f>
        <v>3800</v>
      </c>
      <c r="AA141" s="194">
        <f>Tableau4[[#This Row],[AF 3 par appareil ($)]]/Tableau4[[#This Row],[Surcoût par appareil ($)]]</f>
        <v>0.64022643798227585</v>
      </c>
      <c r="AB141" s="194">
        <f>Tableau4[[#This Row],[Couverture 3 (%)]]*Tableau4[[#This Row],[Nombres appareils installés]]</f>
        <v>3.8413586278936549</v>
      </c>
      <c r="AC141" s="189">
        <f>($AC$4+$AD$4*(Tableau4[[#This Row],[Capacité (BTU)]]/1000))*Tableau4[[#This Row],[Nombres appareils installés]]</f>
        <v>19440</v>
      </c>
      <c r="AD141" s="189">
        <f>Tableau4[[#This Row],[AF 4 ($)]]/Tableau4[[#This Row],[Nombres appareils installés]]</f>
        <v>3240</v>
      </c>
      <c r="AE141" s="195">
        <f>Tableau4[[#This Row],[Couverture 4 (%)]]*Tableau4[[#This Row],[Nombres appareils installés]]</f>
        <v>3.2752636722040642</v>
      </c>
      <c r="AF141" s="194">
        <f>Tableau4[[#This Row],[AF 4 par appareil  ($)]]/Tableau4[[#This Row],[Surcoût par appareil ($)]]</f>
        <v>0.54587727870067737</v>
      </c>
    </row>
    <row r="142" spans="2:32" x14ac:dyDescent="0.3">
      <c r="B142" s="196" t="s">
        <v>283</v>
      </c>
      <c r="C142" s="189" t="s">
        <v>304</v>
      </c>
      <c r="D142" s="189">
        <v>2</v>
      </c>
      <c r="E142" s="189">
        <v>310000</v>
      </c>
      <c r="F142" s="197">
        <f>Tableau4[[#This Row],[Economies totales (m3)]]/Tableau4[[#This Row],[Nombres appareils installés]]</f>
        <v>1565.5</v>
      </c>
      <c r="G142" s="191">
        <v>3131</v>
      </c>
      <c r="H142" s="189">
        <f t="shared" si="4"/>
        <v>4385.3999999999996</v>
      </c>
      <c r="I142" s="189">
        <v>2400</v>
      </c>
      <c r="J142" s="189">
        <f>Tableau4[[#This Row],[Surcoût moyens de l''équipement ($)]]+Tableau4[[#This Row],[Surcoût moyen de l''installation ($)]]</f>
        <v>6785.4</v>
      </c>
      <c r="K142" s="189">
        <f>Tableau4[[#This Row],[Surcoût par appareil ($)]]*Tableau4[[#This Row],[Nombres appareils installés]]</f>
        <v>13570.8</v>
      </c>
      <c r="L142" s="191">
        <v>3400</v>
      </c>
      <c r="M142" s="189">
        <f t="shared" si="5"/>
        <v>4900</v>
      </c>
      <c r="N142" s="189">
        <f>Tableau4[[#This Row],[AF 0 ($)]]/Tableau4[[#This Row],[Nombres appareils installés]]</f>
        <v>2450</v>
      </c>
      <c r="O142" s="192">
        <f>(Tableau4[[#This Row],[AF accordée ($)]])/($J$6*D142)</f>
        <v>0.42463905680171854</v>
      </c>
      <c r="P142" s="192">
        <f>Tableau4[[#This Row],[Couverture 0 (%)]]*Tableau4[[#This Row],[Nombres appareils installés]]</f>
        <v>0.84927811360343708</v>
      </c>
      <c r="Q142" s="189">
        <f>($Q$4+$R$4*(Tableau4[[#This Row],[Capacité (BTU)]]/1000))*Tableau4[[#This Row],[Nombres appareils installés]]</f>
        <v>7100</v>
      </c>
      <c r="R142" s="189">
        <f>Tableau4[[#This Row],[AF 1 ($)]]/Tableau4[[#This Row],[Nombres appareils installés]]</f>
        <v>3550</v>
      </c>
      <c r="S142" s="192">
        <f>Tableau4[[#This Row],[AF 1 ($)]]/(J142*D142)</f>
        <v>0.52318212633006167</v>
      </c>
      <c r="T142" s="192">
        <f>Tableau4[[#This Row],[Couverture 1 (%)]]*Tableau4[[#This Row],[Nombres appareils installés]]</f>
        <v>1.0463642526601233</v>
      </c>
      <c r="U142" s="189">
        <f>($U$4+($V$4*(Tableau4[[#This Row],[Capacité (BTU)]]/1000)))*Tableau4[[#This Row],[Nombres appareils installés]]</f>
        <v>8650</v>
      </c>
      <c r="V142" s="189">
        <f>Tableau4[[#This Row],[AF 2 ($)]]/Tableau4[[#This Row],[Nombres appareils installés]]</f>
        <v>4325</v>
      </c>
      <c r="W142" s="193">
        <f>Tableau4[[#This Row],[AF 2 par appareil ($)]]/Tableau4[[#This Row],[Surcoût par appareil ($)]]</f>
        <v>0.63739794264155392</v>
      </c>
      <c r="X142" s="193">
        <f>Tableau4[[#This Row],[Couverture 2 (%)]]*Tableau4[[#This Row],[Nombres appareils installés]]</f>
        <v>1.2747958852831078</v>
      </c>
      <c r="Y142" s="189">
        <f>($Y$4+$Z$4*(Tableau4[[#This Row],[Capacité (BTU)]]/1000))*Tableau4[[#This Row],[Nombres appareils installés]]</f>
        <v>8100</v>
      </c>
      <c r="Z142" s="189">
        <f>Tableau4[[#This Row],[AF 3 ($)]]/Tableau4[[#This Row],[Nombres appareils installés]]</f>
        <v>4050</v>
      </c>
      <c r="AA142" s="194">
        <f>Tableau4[[#This Row],[AF 3 par appareil ($)]]/Tableau4[[#This Row],[Surcoût par appareil ($)]]</f>
        <v>0.59686974975683083</v>
      </c>
      <c r="AB142" s="194">
        <f>Tableau4[[#This Row],[Couverture 3 (%)]]*Tableau4[[#This Row],[Nombres appareils installés]]</f>
        <v>1.1937394995136617</v>
      </c>
      <c r="AC142" s="189">
        <f>($AC$4+$AD$4*(Tableau4[[#This Row],[Capacité (BTU)]]/1000))*Tableau4[[#This Row],[Nombres appareils installés]]</f>
        <v>6880</v>
      </c>
      <c r="AD142" s="189">
        <f>Tableau4[[#This Row],[AF 4 ($)]]/Tableau4[[#This Row],[Nombres appareils installés]]</f>
        <v>3440</v>
      </c>
      <c r="AE142" s="195">
        <f>Tableau4[[#This Row],[Couverture 4 (%)]]*Tableau4[[#This Row],[Nombres appareils installés]]</f>
        <v>1.0139416983523448</v>
      </c>
      <c r="AF142" s="194">
        <f>Tableau4[[#This Row],[AF 4 par appareil  ($)]]/Tableau4[[#This Row],[Surcoût par appareil ($)]]</f>
        <v>0.50697084917617241</v>
      </c>
    </row>
    <row r="143" spans="2:32" x14ac:dyDescent="0.3">
      <c r="B143" s="196" t="s">
        <v>283</v>
      </c>
      <c r="C143" s="189" t="s">
        <v>305</v>
      </c>
      <c r="D143" s="189">
        <v>8</v>
      </c>
      <c r="E143" s="189">
        <v>310000</v>
      </c>
      <c r="F143" s="197">
        <f>Tableau4[[#This Row],[Economies totales (m3)]]/Tableau4[[#This Row],[Nombres appareils installés]]</f>
        <v>1565.5</v>
      </c>
      <c r="G143" s="191">
        <v>12524</v>
      </c>
      <c r="H143" s="189">
        <f t="shared" si="4"/>
        <v>4385.3999999999996</v>
      </c>
      <c r="I143" s="189">
        <v>2400</v>
      </c>
      <c r="J143" s="189">
        <f>Tableau4[[#This Row],[Surcoût moyens de l''équipement ($)]]+Tableau4[[#This Row],[Surcoût moyen de l''installation ($)]]</f>
        <v>6785.4</v>
      </c>
      <c r="K143" s="189">
        <f>Tableau4[[#This Row],[Surcoût par appareil ($)]]*Tableau4[[#This Row],[Nombres appareils installés]]</f>
        <v>54283.199999999997</v>
      </c>
      <c r="L143" s="191">
        <v>13600</v>
      </c>
      <c r="M143" s="189">
        <f t="shared" si="5"/>
        <v>19600</v>
      </c>
      <c r="N143" s="189">
        <f>Tableau4[[#This Row],[AF 0 ($)]]/Tableau4[[#This Row],[Nombres appareils installés]]</f>
        <v>2450</v>
      </c>
      <c r="O143" s="192">
        <f>(Tableau4[[#This Row],[AF accordée ($)]])/($J$6*D143)</f>
        <v>0.42463905680171854</v>
      </c>
      <c r="P143" s="192">
        <f>Tableau4[[#This Row],[Couverture 0 (%)]]*Tableau4[[#This Row],[Nombres appareils installés]]</f>
        <v>3.3971124544137483</v>
      </c>
      <c r="Q143" s="189">
        <f>($Q$4+$R$4*(Tableau4[[#This Row],[Capacité (BTU)]]/1000))*Tableau4[[#This Row],[Nombres appareils installés]]</f>
        <v>28400</v>
      </c>
      <c r="R143" s="189">
        <f>Tableau4[[#This Row],[AF 1 ($)]]/Tableau4[[#This Row],[Nombres appareils installés]]</f>
        <v>3550</v>
      </c>
      <c r="S143" s="192">
        <f>Tableau4[[#This Row],[AF 1 ($)]]/(J143*D143)</f>
        <v>0.52318212633006167</v>
      </c>
      <c r="T143" s="192">
        <f>Tableau4[[#This Row],[Couverture 1 (%)]]*Tableau4[[#This Row],[Nombres appareils installés]]</f>
        <v>4.1854570106404934</v>
      </c>
      <c r="U143" s="189">
        <f>($U$4+($V$4*(Tableau4[[#This Row],[Capacité (BTU)]]/1000)))*Tableau4[[#This Row],[Nombres appareils installés]]</f>
        <v>34600</v>
      </c>
      <c r="V143" s="189">
        <f>Tableau4[[#This Row],[AF 2 ($)]]/Tableau4[[#This Row],[Nombres appareils installés]]</f>
        <v>4325</v>
      </c>
      <c r="W143" s="193">
        <f>Tableau4[[#This Row],[AF 2 par appareil ($)]]/Tableau4[[#This Row],[Surcoût par appareil ($)]]</f>
        <v>0.63739794264155392</v>
      </c>
      <c r="X143" s="193">
        <f>Tableau4[[#This Row],[Couverture 2 (%)]]*Tableau4[[#This Row],[Nombres appareils installés]]</f>
        <v>5.0991835411324313</v>
      </c>
      <c r="Y143" s="189">
        <f>($Y$4+$Z$4*(Tableau4[[#This Row],[Capacité (BTU)]]/1000))*Tableau4[[#This Row],[Nombres appareils installés]]</f>
        <v>32400</v>
      </c>
      <c r="Z143" s="189">
        <f>Tableau4[[#This Row],[AF 3 ($)]]/Tableau4[[#This Row],[Nombres appareils installés]]</f>
        <v>4050</v>
      </c>
      <c r="AA143" s="194">
        <f>Tableau4[[#This Row],[AF 3 par appareil ($)]]/Tableau4[[#This Row],[Surcoût par appareil ($)]]</f>
        <v>0.59686974975683083</v>
      </c>
      <c r="AB143" s="194">
        <f>Tableau4[[#This Row],[Couverture 3 (%)]]*Tableau4[[#This Row],[Nombres appareils installés]]</f>
        <v>4.7749579980546466</v>
      </c>
      <c r="AC143" s="189">
        <f>($AC$4+$AD$4*(Tableau4[[#This Row],[Capacité (BTU)]]/1000))*Tableau4[[#This Row],[Nombres appareils installés]]</f>
        <v>27520</v>
      </c>
      <c r="AD143" s="189">
        <f>Tableau4[[#This Row],[AF 4 ($)]]/Tableau4[[#This Row],[Nombres appareils installés]]</f>
        <v>3440</v>
      </c>
      <c r="AE143" s="195">
        <f>Tableau4[[#This Row],[Couverture 4 (%)]]*Tableau4[[#This Row],[Nombres appareils installés]]</f>
        <v>4.0557667934093793</v>
      </c>
      <c r="AF143" s="194">
        <f>Tableau4[[#This Row],[AF 4 par appareil  ($)]]/Tableau4[[#This Row],[Surcoût par appareil ($)]]</f>
        <v>0.50697084917617241</v>
      </c>
    </row>
    <row r="144" spans="2:32" x14ac:dyDescent="0.3">
      <c r="B144" s="196" t="s">
        <v>283</v>
      </c>
      <c r="C144" s="189" t="s">
        <v>216</v>
      </c>
      <c r="D144" s="189">
        <v>14</v>
      </c>
      <c r="E144" s="189">
        <v>310000</v>
      </c>
      <c r="F144" s="197">
        <f>Tableau4[[#This Row],[Economies totales (m3)]]/Tableau4[[#This Row],[Nombres appareils installés]]</f>
        <v>1565.5</v>
      </c>
      <c r="G144" s="191">
        <v>21917</v>
      </c>
      <c r="H144" s="189">
        <f t="shared" si="4"/>
        <v>4385.3999999999996</v>
      </c>
      <c r="I144" s="189">
        <v>2400</v>
      </c>
      <c r="J144" s="189">
        <f>Tableau4[[#This Row],[Surcoût moyens de l''équipement ($)]]+Tableau4[[#This Row],[Surcoût moyen de l''installation ($)]]</f>
        <v>6785.4</v>
      </c>
      <c r="K144" s="189">
        <f>Tableau4[[#This Row],[Surcoût par appareil ($)]]*Tableau4[[#This Row],[Nombres appareils installés]]</f>
        <v>94995.599999999991</v>
      </c>
      <c r="L144" s="191">
        <v>23800</v>
      </c>
      <c r="M144" s="189">
        <f t="shared" si="5"/>
        <v>34300</v>
      </c>
      <c r="N144" s="189">
        <f>Tableau4[[#This Row],[AF 0 ($)]]/Tableau4[[#This Row],[Nombres appareils installés]]</f>
        <v>2450</v>
      </c>
      <c r="O144" s="192">
        <f>(Tableau4[[#This Row],[AF accordée ($)]])/($J$6*D144)</f>
        <v>0.42463905680171854</v>
      </c>
      <c r="P144" s="192">
        <f>Tableau4[[#This Row],[Couverture 0 (%)]]*Tableau4[[#This Row],[Nombres appareils installés]]</f>
        <v>5.9449467952240598</v>
      </c>
      <c r="Q144" s="189">
        <f>($Q$4+$R$4*(Tableau4[[#This Row],[Capacité (BTU)]]/1000))*Tableau4[[#This Row],[Nombres appareils installés]]</f>
        <v>49700</v>
      </c>
      <c r="R144" s="189">
        <f>Tableau4[[#This Row],[AF 1 ($)]]/Tableau4[[#This Row],[Nombres appareils installés]]</f>
        <v>3550</v>
      </c>
      <c r="S144" s="192">
        <f>Tableau4[[#This Row],[AF 1 ($)]]/(J144*D144)</f>
        <v>0.52318212633006167</v>
      </c>
      <c r="T144" s="192">
        <f>Tableau4[[#This Row],[Couverture 1 (%)]]*Tableau4[[#This Row],[Nombres appareils installés]]</f>
        <v>7.3245497686208632</v>
      </c>
      <c r="U144" s="189">
        <f>($U$4+($V$4*(Tableau4[[#This Row],[Capacité (BTU)]]/1000)))*Tableau4[[#This Row],[Nombres appareils installés]]</f>
        <v>60550</v>
      </c>
      <c r="V144" s="189">
        <f>Tableau4[[#This Row],[AF 2 ($)]]/Tableau4[[#This Row],[Nombres appareils installés]]</f>
        <v>4325</v>
      </c>
      <c r="W144" s="193">
        <f>Tableau4[[#This Row],[AF 2 par appareil ($)]]/Tableau4[[#This Row],[Surcoût par appareil ($)]]</f>
        <v>0.63739794264155392</v>
      </c>
      <c r="X144" s="193">
        <f>Tableau4[[#This Row],[Couverture 2 (%)]]*Tableau4[[#This Row],[Nombres appareils installés]]</f>
        <v>8.9235711969817544</v>
      </c>
      <c r="Y144" s="189">
        <f>($Y$4+$Z$4*(Tableau4[[#This Row],[Capacité (BTU)]]/1000))*Tableau4[[#This Row],[Nombres appareils installés]]</f>
        <v>56700</v>
      </c>
      <c r="Z144" s="189">
        <f>Tableau4[[#This Row],[AF 3 ($)]]/Tableau4[[#This Row],[Nombres appareils installés]]</f>
        <v>4050</v>
      </c>
      <c r="AA144" s="194">
        <f>Tableau4[[#This Row],[AF 3 par appareil ($)]]/Tableau4[[#This Row],[Surcoût par appareil ($)]]</f>
        <v>0.59686974975683083</v>
      </c>
      <c r="AB144" s="194">
        <f>Tableau4[[#This Row],[Couverture 3 (%)]]*Tableau4[[#This Row],[Nombres appareils installés]]</f>
        <v>8.3561764965956318</v>
      </c>
      <c r="AC144" s="189">
        <f>($AC$4+$AD$4*(Tableau4[[#This Row],[Capacité (BTU)]]/1000))*Tableau4[[#This Row],[Nombres appareils installés]]</f>
        <v>48160</v>
      </c>
      <c r="AD144" s="189">
        <f>Tableau4[[#This Row],[AF 4 ($)]]/Tableau4[[#This Row],[Nombres appareils installés]]</f>
        <v>3440</v>
      </c>
      <c r="AE144" s="195">
        <f>Tableau4[[#This Row],[Couverture 4 (%)]]*Tableau4[[#This Row],[Nombres appareils installés]]</f>
        <v>7.0975918884664138</v>
      </c>
      <c r="AF144" s="194">
        <f>Tableau4[[#This Row],[AF 4 par appareil  ($)]]/Tableau4[[#This Row],[Surcoût par appareil ($)]]</f>
        <v>0.50697084917617241</v>
      </c>
    </row>
    <row r="145" spans="2:32" x14ac:dyDescent="0.3">
      <c r="B145" s="196" t="s">
        <v>283</v>
      </c>
      <c r="C145" s="189" t="s">
        <v>299</v>
      </c>
      <c r="D145" s="189">
        <v>2</v>
      </c>
      <c r="E145" s="189">
        <v>400000</v>
      </c>
      <c r="F145" s="197">
        <f>Tableau4[[#This Row],[Economies totales (m3)]]/Tableau4[[#This Row],[Nombres appareils installés]]</f>
        <v>2020</v>
      </c>
      <c r="G145" s="191">
        <v>4040</v>
      </c>
      <c r="H145" s="189">
        <f t="shared" si="4"/>
        <v>6293.4</v>
      </c>
      <c r="I145" s="189">
        <v>2400</v>
      </c>
      <c r="J145" s="189">
        <f>Tableau4[[#This Row],[Surcoût moyens de l''équipement ($)]]+Tableau4[[#This Row],[Surcoût moyen de l''installation ($)]]</f>
        <v>8693.4</v>
      </c>
      <c r="K145" s="189">
        <f>Tableau4[[#This Row],[Surcoût par appareil ($)]]*Tableau4[[#This Row],[Nombres appareils installés]]</f>
        <v>17386.8</v>
      </c>
      <c r="L145" s="191">
        <v>3400</v>
      </c>
      <c r="M145" s="189">
        <f t="shared" si="5"/>
        <v>5800</v>
      </c>
      <c r="N145" s="189">
        <f>Tableau4[[#This Row],[AF 0 ($)]]/Tableau4[[#This Row],[Nombres appareils installés]]</f>
        <v>2900</v>
      </c>
      <c r="O145" s="192">
        <f>(Tableau4[[#This Row],[AF accordée ($)]])/($J$6*D145)</f>
        <v>0.42463905680171854</v>
      </c>
      <c r="P145" s="192">
        <f>Tableau4[[#This Row],[Couverture 0 (%)]]*Tableau4[[#This Row],[Nombres appareils installés]]</f>
        <v>0.84927811360343708</v>
      </c>
      <c r="Q145" s="189">
        <f>($Q$4+$R$4*(Tableau4[[#This Row],[Capacité (BTU)]]/1000))*Tableau4[[#This Row],[Nombres appareils installés]]</f>
        <v>8000</v>
      </c>
      <c r="R145" s="189">
        <f>Tableau4[[#This Row],[AF 1 ($)]]/Tableau4[[#This Row],[Nombres appareils installés]]</f>
        <v>4000</v>
      </c>
      <c r="S145" s="192">
        <f>Tableau4[[#This Row],[AF 1 ($)]]/(J145*D145)</f>
        <v>0.46011917086525411</v>
      </c>
      <c r="T145" s="192">
        <f>Tableau4[[#This Row],[Couverture 1 (%)]]*Tableau4[[#This Row],[Nombres appareils installés]]</f>
        <v>0.92023834173050822</v>
      </c>
      <c r="U145" s="189">
        <f>($U$4+($V$4*(Tableau4[[#This Row],[Capacité (BTU)]]/1000)))*Tableau4[[#This Row],[Nombres appareils installés]]</f>
        <v>10000</v>
      </c>
      <c r="V145" s="189">
        <f>Tableau4[[#This Row],[AF 2 ($)]]/Tableau4[[#This Row],[Nombres appareils installés]]</f>
        <v>5000</v>
      </c>
      <c r="W145" s="193">
        <f>Tableau4[[#This Row],[AF 2 par appareil ($)]]/Tableau4[[#This Row],[Surcoût par appareil ($)]]</f>
        <v>0.57514896358156764</v>
      </c>
      <c r="X145" s="193">
        <f>Tableau4[[#This Row],[Couverture 2 (%)]]*Tableau4[[#This Row],[Nombres appareils installés]]</f>
        <v>1.1502979271631353</v>
      </c>
      <c r="Y145" s="189">
        <f>($Y$4+$Z$4*(Tableau4[[#This Row],[Capacité (BTU)]]/1000))*Tableau4[[#This Row],[Nombres appareils installés]]</f>
        <v>9000</v>
      </c>
      <c r="Z145" s="189">
        <f>Tableau4[[#This Row],[AF 3 ($)]]/Tableau4[[#This Row],[Nombres appareils installés]]</f>
        <v>4500</v>
      </c>
      <c r="AA145" s="194">
        <f>Tableau4[[#This Row],[AF 3 par appareil ($)]]/Tableau4[[#This Row],[Surcoût par appareil ($)]]</f>
        <v>0.51763406722341088</v>
      </c>
      <c r="AB145" s="194">
        <f>Tableau4[[#This Row],[Couverture 3 (%)]]*Tableau4[[#This Row],[Nombres appareils installés]]</f>
        <v>1.0352681344468218</v>
      </c>
      <c r="AC145" s="189">
        <f>($AC$4+$AD$4*(Tableau4[[#This Row],[Capacité (BTU)]]/1000))*Tableau4[[#This Row],[Nombres appareils installés]]</f>
        <v>7600</v>
      </c>
      <c r="AD145" s="189">
        <f>Tableau4[[#This Row],[AF 4 ($)]]/Tableau4[[#This Row],[Nombres appareils installés]]</f>
        <v>3800</v>
      </c>
      <c r="AE145" s="195">
        <f>Tableau4[[#This Row],[Couverture 4 (%)]]*Tableau4[[#This Row],[Nombres appareils installés]]</f>
        <v>0.87422642464398281</v>
      </c>
      <c r="AF145" s="194">
        <f>Tableau4[[#This Row],[AF 4 par appareil  ($)]]/Tableau4[[#This Row],[Surcoût par appareil ($)]]</f>
        <v>0.43711321232199141</v>
      </c>
    </row>
    <row r="146" spans="2:32" x14ac:dyDescent="0.3">
      <c r="B146" s="196" t="s">
        <v>306</v>
      </c>
      <c r="C146" s="189" t="s">
        <v>216</v>
      </c>
      <c r="D146" s="189">
        <v>1</v>
      </c>
      <c r="E146" s="189">
        <v>55000</v>
      </c>
      <c r="F146" s="197">
        <f>Tableau4[[#This Row],[Economies totales (m3)]]/Tableau4[[#This Row],[Nombres appareils installés]]</f>
        <v>277.75</v>
      </c>
      <c r="G146" s="191">
        <v>277.75</v>
      </c>
      <c r="H146" s="189">
        <f t="shared" si="4"/>
        <v>1618.65</v>
      </c>
      <c r="I146" s="189">
        <v>2400</v>
      </c>
      <c r="J146" s="189">
        <f>Tableau4[[#This Row],[Surcoût moyens de l''équipement ($)]]+Tableau4[[#This Row],[Surcoût moyen de l''installation ($)]]</f>
        <v>4018.65</v>
      </c>
      <c r="K146" s="189">
        <f>Tableau4[[#This Row],[Surcoût par appareil ($)]]*Tableau4[[#This Row],[Nombres appareils installés]]</f>
        <v>4018.65</v>
      </c>
      <c r="L146" s="191">
        <v>1700</v>
      </c>
      <c r="M146" s="189">
        <f t="shared" si="5"/>
        <v>1175</v>
      </c>
      <c r="N146" s="189">
        <f>Tableau4[[#This Row],[AF 0 ($)]]/Tableau4[[#This Row],[Nombres appareils installés]]</f>
        <v>1175</v>
      </c>
      <c r="O146" s="192">
        <f>(Tableau4[[#This Row],[AF accordée ($)]])/($J$6*D146)</f>
        <v>0.42463905680171854</v>
      </c>
      <c r="P146" s="192">
        <f>Tableau4[[#This Row],[Couverture 0 (%)]]*Tableau4[[#This Row],[Nombres appareils installés]]</f>
        <v>0.42463905680171854</v>
      </c>
      <c r="Q146" s="189">
        <f>($Q$4+$R$4*(Tableau4[[#This Row],[Capacité (BTU)]]/1000))*Tableau4[[#This Row],[Nombres appareils installés]]</f>
        <v>2275</v>
      </c>
      <c r="R146" s="189">
        <f>Tableau4[[#This Row],[AF 1 ($)]]/Tableau4[[#This Row],[Nombres appareils installés]]</f>
        <v>2275</v>
      </c>
      <c r="S146" s="192">
        <f>Tableau4[[#This Row],[AF 1 ($)]]/(J146*D146)</f>
        <v>0.56611050974829857</v>
      </c>
      <c r="T146" s="192">
        <f>Tableau4[[#This Row],[Couverture 1 (%)]]*Tableau4[[#This Row],[Nombres appareils installés]]</f>
        <v>0.56611050974829857</v>
      </c>
      <c r="U146" s="189">
        <f>($U$4+($V$4*(Tableau4[[#This Row],[Capacité (BTU)]]/1000)))*Tableau4[[#This Row],[Nombres appareils installés]]</f>
        <v>2412.5</v>
      </c>
      <c r="V146" s="189">
        <f>Tableau4[[#This Row],[AF 2 ($)]]/Tableau4[[#This Row],[Nombres appareils installés]]</f>
        <v>2412.5</v>
      </c>
      <c r="W146" s="193">
        <f>Tableau4[[#This Row],[AF 2 par appareil ($)]]/Tableau4[[#This Row],[Surcoût par appareil ($)]]</f>
        <v>0.60032598011770122</v>
      </c>
      <c r="X146" s="193">
        <f>Tableau4[[#This Row],[Couverture 2 (%)]]*Tableau4[[#This Row],[Nombres appareils installés]]</f>
        <v>0.60032598011770122</v>
      </c>
      <c r="Y146" s="189">
        <f>($Y$4+$Z$4*(Tableau4[[#This Row],[Capacité (BTU)]]/1000))*Tableau4[[#This Row],[Nombres appareils installés]]</f>
        <v>2775</v>
      </c>
      <c r="Z146" s="189">
        <f>Tableau4[[#This Row],[AF 3 ($)]]/Tableau4[[#This Row],[Nombres appareils installés]]</f>
        <v>2775</v>
      </c>
      <c r="AA146" s="194">
        <f>Tableau4[[#This Row],[AF 3 par appareil ($)]]/Tableau4[[#This Row],[Surcoût par appareil ($)]]</f>
        <v>0.69053040200067184</v>
      </c>
      <c r="AB146" s="194">
        <f>Tableau4[[#This Row],[Couverture 3 (%)]]*Tableau4[[#This Row],[Nombres appareils installés]]</f>
        <v>0.69053040200067184</v>
      </c>
      <c r="AC146" s="189">
        <f>($AC$4+$AD$4*(Tableau4[[#This Row],[Capacité (BTU)]]/1000))*Tableau4[[#This Row],[Nombres appareils installés]]</f>
        <v>2420</v>
      </c>
      <c r="AD146" s="189">
        <f>Tableau4[[#This Row],[AF 4 ($)]]/Tableau4[[#This Row],[Nombres appareils installés]]</f>
        <v>2420</v>
      </c>
      <c r="AE146" s="195">
        <f>Tableau4[[#This Row],[Couverture 4 (%)]]*Tableau4[[#This Row],[Nombres appareils installés]]</f>
        <v>0.60219227850148682</v>
      </c>
      <c r="AF146" s="194">
        <f>Tableau4[[#This Row],[AF 4 par appareil  ($)]]/Tableau4[[#This Row],[Surcoût par appareil ($)]]</f>
        <v>0.60219227850148682</v>
      </c>
    </row>
    <row r="147" spans="2:32" x14ac:dyDescent="0.3">
      <c r="B147" s="196" t="s">
        <v>306</v>
      </c>
      <c r="C147" s="189" t="s">
        <v>307</v>
      </c>
      <c r="D147" s="189">
        <v>1</v>
      </c>
      <c r="E147" s="189">
        <v>155000</v>
      </c>
      <c r="F147" s="197">
        <f>Tableau4[[#This Row],[Economies totales (m3)]]/Tableau4[[#This Row],[Nombres appareils installés]]</f>
        <v>782.75</v>
      </c>
      <c r="G147" s="191">
        <v>782.75</v>
      </c>
      <c r="H147" s="189">
        <f t="shared" si="4"/>
        <v>2238.65</v>
      </c>
      <c r="I147" s="189">
        <v>2400</v>
      </c>
      <c r="J147" s="189">
        <f>Tableau4[[#This Row],[Surcoût moyens de l''équipement ($)]]+Tableau4[[#This Row],[Surcoût moyen de l''installation ($)]]</f>
        <v>4638.6499999999996</v>
      </c>
      <c r="K147" s="189">
        <f>Tableau4[[#This Row],[Surcoût par appareil ($)]]*Tableau4[[#This Row],[Nombres appareils installés]]</f>
        <v>4638.6499999999996</v>
      </c>
      <c r="L147" s="191">
        <v>1700</v>
      </c>
      <c r="M147" s="189">
        <f t="shared" si="5"/>
        <v>1675</v>
      </c>
      <c r="N147" s="189">
        <f>Tableau4[[#This Row],[AF 0 ($)]]/Tableau4[[#This Row],[Nombres appareils installés]]</f>
        <v>1675</v>
      </c>
      <c r="O147" s="192">
        <f>(Tableau4[[#This Row],[AF accordée ($)]])/($J$6*D147)</f>
        <v>0.42463905680171854</v>
      </c>
      <c r="P147" s="192">
        <f>Tableau4[[#This Row],[Couverture 0 (%)]]*Tableau4[[#This Row],[Nombres appareils installés]]</f>
        <v>0.42463905680171854</v>
      </c>
      <c r="Q147" s="189">
        <f>($Q$4+$R$4*(Tableau4[[#This Row],[Capacité (BTU)]]/1000))*Tableau4[[#This Row],[Nombres appareils installés]]</f>
        <v>2775</v>
      </c>
      <c r="R147" s="189">
        <f>Tableau4[[#This Row],[AF 1 ($)]]/Tableau4[[#This Row],[Nombres appareils installés]]</f>
        <v>2775</v>
      </c>
      <c r="S147" s="192">
        <f>Tableau4[[#This Row],[AF 1 ($)]]/(J147*D147)</f>
        <v>0.59823440009485518</v>
      </c>
      <c r="T147" s="192">
        <f>Tableau4[[#This Row],[Couverture 1 (%)]]*Tableau4[[#This Row],[Nombres appareils installés]]</f>
        <v>0.59823440009485518</v>
      </c>
      <c r="U147" s="189">
        <f>($U$4+($V$4*(Tableau4[[#This Row],[Capacité (BTU)]]/1000)))*Tableau4[[#This Row],[Nombres appareils installés]]</f>
        <v>3162.5</v>
      </c>
      <c r="V147" s="189">
        <f>Tableau4[[#This Row],[AF 2 ($)]]/Tableau4[[#This Row],[Nombres appareils installés]]</f>
        <v>3162.5</v>
      </c>
      <c r="W147" s="193">
        <f>Tableau4[[#This Row],[AF 2 par appareil ($)]]/Tableau4[[#This Row],[Surcoût par appareil ($)]]</f>
        <v>0.68177163614413683</v>
      </c>
      <c r="X147" s="193">
        <f>Tableau4[[#This Row],[Couverture 2 (%)]]*Tableau4[[#This Row],[Nombres appareils installés]]</f>
        <v>0.68177163614413683</v>
      </c>
      <c r="Y147" s="189">
        <f>($Y$4+$Z$4*(Tableau4[[#This Row],[Capacité (BTU)]]/1000))*Tableau4[[#This Row],[Nombres appareils installés]]</f>
        <v>3275</v>
      </c>
      <c r="Z147" s="189">
        <f>Tableau4[[#This Row],[AF 3 ($)]]/Tableau4[[#This Row],[Nombres appareils installés]]</f>
        <v>3275</v>
      </c>
      <c r="AA147" s="194">
        <f>Tableau4[[#This Row],[AF 3 par appareil ($)]]/Tableau4[[#This Row],[Surcoût par appareil ($)]]</f>
        <v>0.70602438209392826</v>
      </c>
      <c r="AB147" s="194">
        <f>Tableau4[[#This Row],[Couverture 3 (%)]]*Tableau4[[#This Row],[Nombres appareils installés]]</f>
        <v>0.70602438209392826</v>
      </c>
      <c r="AC147" s="189">
        <f>($AC$4+$AD$4*(Tableau4[[#This Row],[Capacité (BTU)]]/1000))*Tableau4[[#This Row],[Nombres appareils installés]]</f>
        <v>2820</v>
      </c>
      <c r="AD147" s="189">
        <f>Tableau4[[#This Row],[AF 4 ($)]]/Tableau4[[#This Row],[Nombres appareils installés]]</f>
        <v>2820</v>
      </c>
      <c r="AE147" s="195">
        <f>Tableau4[[#This Row],[Couverture 4 (%)]]*Tableau4[[#This Row],[Nombres appareils installés]]</f>
        <v>0.6079354984747718</v>
      </c>
      <c r="AF147" s="194">
        <f>Tableau4[[#This Row],[AF 4 par appareil  ($)]]/Tableau4[[#This Row],[Surcoût par appareil ($)]]</f>
        <v>0.6079354984747718</v>
      </c>
    </row>
    <row r="148" spans="2:32" x14ac:dyDescent="0.3">
      <c r="B148" s="196" t="s">
        <v>306</v>
      </c>
      <c r="C148" s="189" t="s">
        <v>216</v>
      </c>
      <c r="D148" s="189">
        <v>1</v>
      </c>
      <c r="E148" s="189">
        <v>155000</v>
      </c>
      <c r="F148" s="197">
        <f>Tableau4[[#This Row],[Economies totales (m3)]]/Tableau4[[#This Row],[Nombres appareils installés]]</f>
        <v>782.75</v>
      </c>
      <c r="G148" s="191">
        <v>782.75</v>
      </c>
      <c r="H148" s="189">
        <f t="shared" si="4"/>
        <v>2238.65</v>
      </c>
      <c r="I148" s="189">
        <v>2400</v>
      </c>
      <c r="J148" s="189">
        <f>Tableau4[[#This Row],[Surcoût moyens de l''équipement ($)]]+Tableau4[[#This Row],[Surcoût moyen de l''installation ($)]]</f>
        <v>4638.6499999999996</v>
      </c>
      <c r="K148" s="189">
        <f>Tableau4[[#This Row],[Surcoût par appareil ($)]]*Tableau4[[#This Row],[Nombres appareils installés]]</f>
        <v>4638.6499999999996</v>
      </c>
      <c r="L148" s="191">
        <v>1675</v>
      </c>
      <c r="M148" s="189">
        <f t="shared" si="5"/>
        <v>1675</v>
      </c>
      <c r="N148" s="189">
        <f>Tableau4[[#This Row],[AF 0 ($)]]/Tableau4[[#This Row],[Nombres appareils installés]]</f>
        <v>1675</v>
      </c>
      <c r="O148" s="192">
        <f>(Tableau4[[#This Row],[AF accordée ($)]])/($J$6*D148)</f>
        <v>0.41839436478992853</v>
      </c>
      <c r="P148" s="192">
        <f>Tableau4[[#This Row],[Couverture 0 (%)]]*Tableau4[[#This Row],[Nombres appareils installés]]</f>
        <v>0.41839436478992853</v>
      </c>
      <c r="Q148" s="189">
        <f>($Q$4+$R$4*(Tableau4[[#This Row],[Capacité (BTU)]]/1000))*Tableau4[[#This Row],[Nombres appareils installés]]</f>
        <v>2775</v>
      </c>
      <c r="R148" s="189">
        <f>Tableau4[[#This Row],[AF 1 ($)]]/Tableau4[[#This Row],[Nombres appareils installés]]</f>
        <v>2775</v>
      </c>
      <c r="S148" s="192">
        <f>Tableau4[[#This Row],[AF 1 ($)]]/(J148*D148)</f>
        <v>0.59823440009485518</v>
      </c>
      <c r="T148" s="192">
        <f>Tableau4[[#This Row],[Couverture 1 (%)]]*Tableau4[[#This Row],[Nombres appareils installés]]</f>
        <v>0.59823440009485518</v>
      </c>
      <c r="U148" s="189">
        <f>($U$4+($V$4*(Tableau4[[#This Row],[Capacité (BTU)]]/1000)))*Tableau4[[#This Row],[Nombres appareils installés]]</f>
        <v>3162.5</v>
      </c>
      <c r="V148" s="189">
        <f>Tableau4[[#This Row],[AF 2 ($)]]/Tableau4[[#This Row],[Nombres appareils installés]]</f>
        <v>3162.5</v>
      </c>
      <c r="W148" s="193">
        <f>Tableau4[[#This Row],[AF 2 par appareil ($)]]/Tableau4[[#This Row],[Surcoût par appareil ($)]]</f>
        <v>0.68177163614413683</v>
      </c>
      <c r="X148" s="193">
        <f>Tableau4[[#This Row],[Couverture 2 (%)]]*Tableau4[[#This Row],[Nombres appareils installés]]</f>
        <v>0.68177163614413683</v>
      </c>
      <c r="Y148" s="189">
        <f>($Y$4+$Z$4*(Tableau4[[#This Row],[Capacité (BTU)]]/1000))*Tableau4[[#This Row],[Nombres appareils installés]]</f>
        <v>3275</v>
      </c>
      <c r="Z148" s="189">
        <f>Tableau4[[#This Row],[AF 3 ($)]]/Tableau4[[#This Row],[Nombres appareils installés]]</f>
        <v>3275</v>
      </c>
      <c r="AA148" s="194">
        <f>Tableau4[[#This Row],[AF 3 par appareil ($)]]/Tableau4[[#This Row],[Surcoût par appareil ($)]]</f>
        <v>0.70602438209392826</v>
      </c>
      <c r="AB148" s="194">
        <f>Tableau4[[#This Row],[Couverture 3 (%)]]*Tableau4[[#This Row],[Nombres appareils installés]]</f>
        <v>0.70602438209392826</v>
      </c>
      <c r="AC148" s="189">
        <f>($AC$4+$AD$4*(Tableau4[[#This Row],[Capacité (BTU)]]/1000))*Tableau4[[#This Row],[Nombres appareils installés]]</f>
        <v>2820</v>
      </c>
      <c r="AD148" s="189">
        <f>Tableau4[[#This Row],[AF 4 ($)]]/Tableau4[[#This Row],[Nombres appareils installés]]</f>
        <v>2820</v>
      </c>
      <c r="AE148" s="195">
        <f>Tableau4[[#This Row],[Couverture 4 (%)]]*Tableau4[[#This Row],[Nombres appareils installés]]</f>
        <v>0.6079354984747718</v>
      </c>
      <c r="AF148" s="194">
        <f>Tableau4[[#This Row],[AF 4 par appareil  ($)]]/Tableau4[[#This Row],[Surcoût par appareil ($)]]</f>
        <v>0.6079354984747718</v>
      </c>
    </row>
    <row r="149" spans="2:32" x14ac:dyDescent="0.3">
      <c r="B149" s="196" t="s">
        <v>306</v>
      </c>
      <c r="C149" s="189" t="s">
        <v>308</v>
      </c>
      <c r="D149" s="189">
        <v>1</v>
      </c>
      <c r="E149" s="189">
        <v>175000</v>
      </c>
      <c r="F149" s="197">
        <f>Tableau4[[#This Row],[Economies totales (m3)]]/Tableau4[[#This Row],[Nombres appareils installés]]</f>
        <v>883.75</v>
      </c>
      <c r="G149" s="191">
        <v>883.75</v>
      </c>
      <c r="H149" s="189">
        <f t="shared" si="4"/>
        <v>2434.65</v>
      </c>
      <c r="I149" s="189">
        <v>2400</v>
      </c>
      <c r="J149" s="189">
        <f>Tableau4[[#This Row],[Surcoût moyens de l''équipement ($)]]+Tableau4[[#This Row],[Surcoût moyen de l''installation ($)]]</f>
        <v>4834.6499999999996</v>
      </c>
      <c r="K149" s="189">
        <f>Tableau4[[#This Row],[Surcoût par appareil ($)]]*Tableau4[[#This Row],[Nombres appareils installés]]</f>
        <v>4834.6499999999996</v>
      </c>
      <c r="L149" s="191">
        <v>1775</v>
      </c>
      <c r="M149" s="189">
        <f t="shared" si="5"/>
        <v>1775</v>
      </c>
      <c r="N149" s="189">
        <f>Tableau4[[#This Row],[AF 0 ($)]]/Tableau4[[#This Row],[Nombres appareils installés]]</f>
        <v>1775</v>
      </c>
      <c r="O149" s="192">
        <f>(Tableau4[[#This Row],[AF accordée ($)]])/($J$6*D149)</f>
        <v>0.44337313283708846</v>
      </c>
      <c r="P149" s="192">
        <f>Tableau4[[#This Row],[Couverture 0 (%)]]*Tableau4[[#This Row],[Nombres appareils installés]]</f>
        <v>0.44337313283708846</v>
      </c>
      <c r="Q149" s="189">
        <f>($Q$4+$R$4*(Tableau4[[#This Row],[Capacité (BTU)]]/1000))*Tableau4[[#This Row],[Nombres appareils installés]]</f>
        <v>2875</v>
      </c>
      <c r="R149" s="189">
        <f>Tableau4[[#This Row],[AF 1 ($)]]/Tableau4[[#This Row],[Nombres appareils installés]]</f>
        <v>2875</v>
      </c>
      <c r="S149" s="192">
        <f>Tableau4[[#This Row],[AF 1 ($)]]/(J149*D149)</f>
        <v>0.59466559109759765</v>
      </c>
      <c r="T149" s="192">
        <f>Tableau4[[#This Row],[Couverture 1 (%)]]*Tableau4[[#This Row],[Nombres appareils installés]]</f>
        <v>0.59466559109759765</v>
      </c>
      <c r="U149" s="189">
        <f>($U$4+($V$4*(Tableau4[[#This Row],[Capacité (BTU)]]/1000)))*Tableau4[[#This Row],[Nombres appareils installés]]</f>
        <v>3312.5</v>
      </c>
      <c r="V149" s="189">
        <f>Tableau4[[#This Row],[AF 2 ($)]]/Tableau4[[#This Row],[Nombres appareils installés]]</f>
        <v>3312.5</v>
      </c>
      <c r="W149" s="193">
        <f>Tableau4[[#This Row],[AF 2 par appareil ($)]]/Tableau4[[#This Row],[Surcoût par appareil ($)]]</f>
        <v>0.68515818104723203</v>
      </c>
      <c r="X149" s="193">
        <f>Tableau4[[#This Row],[Couverture 2 (%)]]*Tableau4[[#This Row],[Nombres appareils installés]]</f>
        <v>0.68515818104723203</v>
      </c>
      <c r="Y149" s="189">
        <f>($Y$4+$Z$4*(Tableau4[[#This Row],[Capacité (BTU)]]/1000))*Tableau4[[#This Row],[Nombres appareils installés]]</f>
        <v>3375</v>
      </c>
      <c r="Z149" s="189">
        <f>Tableau4[[#This Row],[AF 3 ($)]]/Tableau4[[#This Row],[Nombres appareils installés]]</f>
        <v>3375</v>
      </c>
      <c r="AA149" s="194">
        <f>Tableau4[[#This Row],[AF 3 par appareil ($)]]/Tableau4[[#This Row],[Surcoût par appareil ($)]]</f>
        <v>0.69808569389717978</v>
      </c>
      <c r="AB149" s="194">
        <f>Tableau4[[#This Row],[Couverture 3 (%)]]*Tableau4[[#This Row],[Nombres appareils installés]]</f>
        <v>0.69808569389717978</v>
      </c>
      <c r="AC149" s="189">
        <f>($AC$4+$AD$4*(Tableau4[[#This Row],[Capacité (BTU)]]/1000))*Tableau4[[#This Row],[Nombres appareils installés]]</f>
        <v>2900</v>
      </c>
      <c r="AD149" s="189">
        <f>Tableau4[[#This Row],[AF 4 ($)]]/Tableau4[[#This Row],[Nombres appareils installés]]</f>
        <v>2900</v>
      </c>
      <c r="AE149" s="195">
        <f>Tableau4[[#This Row],[Couverture 4 (%)]]*Tableau4[[#This Row],[Nombres appareils installés]]</f>
        <v>0.59983659623757668</v>
      </c>
      <c r="AF149" s="194">
        <f>Tableau4[[#This Row],[AF 4 par appareil  ($)]]/Tableau4[[#This Row],[Surcoût par appareil ($)]]</f>
        <v>0.59983659623757668</v>
      </c>
    </row>
    <row r="150" spans="2:32" x14ac:dyDescent="0.3">
      <c r="B150" s="196" t="s">
        <v>306</v>
      </c>
      <c r="C150" s="189" t="s">
        <v>309</v>
      </c>
      <c r="D150" s="189">
        <v>1</v>
      </c>
      <c r="E150" s="189">
        <v>175000</v>
      </c>
      <c r="F150" s="197">
        <f>Tableau4[[#This Row],[Economies totales (m3)]]/Tableau4[[#This Row],[Nombres appareils installés]]</f>
        <v>883.75</v>
      </c>
      <c r="G150" s="191">
        <v>883.75</v>
      </c>
      <c r="H150" s="189">
        <f t="shared" si="4"/>
        <v>2434.65</v>
      </c>
      <c r="I150" s="189">
        <v>2400</v>
      </c>
      <c r="J150" s="189">
        <f>Tableau4[[#This Row],[Surcoût moyens de l''équipement ($)]]+Tableau4[[#This Row],[Surcoût moyen de l''installation ($)]]</f>
        <v>4834.6499999999996</v>
      </c>
      <c r="K150" s="189">
        <f>Tableau4[[#This Row],[Surcoût par appareil ($)]]*Tableau4[[#This Row],[Nombres appareils installés]]</f>
        <v>4834.6499999999996</v>
      </c>
      <c r="L150" s="191">
        <v>1775</v>
      </c>
      <c r="M150" s="189">
        <f t="shared" si="5"/>
        <v>1775</v>
      </c>
      <c r="N150" s="189">
        <f>Tableau4[[#This Row],[AF 0 ($)]]/Tableau4[[#This Row],[Nombres appareils installés]]</f>
        <v>1775</v>
      </c>
      <c r="O150" s="192">
        <f>(Tableau4[[#This Row],[AF accordée ($)]])/($J$6*D150)</f>
        <v>0.44337313283708846</v>
      </c>
      <c r="P150" s="192">
        <f>Tableau4[[#This Row],[Couverture 0 (%)]]*Tableau4[[#This Row],[Nombres appareils installés]]</f>
        <v>0.44337313283708846</v>
      </c>
      <c r="Q150" s="189">
        <f>($Q$4+$R$4*(Tableau4[[#This Row],[Capacité (BTU)]]/1000))*Tableau4[[#This Row],[Nombres appareils installés]]</f>
        <v>2875</v>
      </c>
      <c r="R150" s="189">
        <f>Tableau4[[#This Row],[AF 1 ($)]]/Tableau4[[#This Row],[Nombres appareils installés]]</f>
        <v>2875</v>
      </c>
      <c r="S150" s="192">
        <f>Tableau4[[#This Row],[AF 1 ($)]]/(J150*D150)</f>
        <v>0.59466559109759765</v>
      </c>
      <c r="T150" s="192">
        <f>Tableau4[[#This Row],[Couverture 1 (%)]]*Tableau4[[#This Row],[Nombres appareils installés]]</f>
        <v>0.59466559109759765</v>
      </c>
      <c r="U150" s="189">
        <f>($U$4+($V$4*(Tableau4[[#This Row],[Capacité (BTU)]]/1000)))*Tableau4[[#This Row],[Nombres appareils installés]]</f>
        <v>3312.5</v>
      </c>
      <c r="V150" s="189">
        <f>Tableau4[[#This Row],[AF 2 ($)]]/Tableau4[[#This Row],[Nombres appareils installés]]</f>
        <v>3312.5</v>
      </c>
      <c r="W150" s="193">
        <f>Tableau4[[#This Row],[AF 2 par appareil ($)]]/Tableau4[[#This Row],[Surcoût par appareil ($)]]</f>
        <v>0.68515818104723203</v>
      </c>
      <c r="X150" s="193">
        <f>Tableau4[[#This Row],[Couverture 2 (%)]]*Tableau4[[#This Row],[Nombres appareils installés]]</f>
        <v>0.68515818104723203</v>
      </c>
      <c r="Y150" s="189">
        <f>($Y$4+$Z$4*(Tableau4[[#This Row],[Capacité (BTU)]]/1000))*Tableau4[[#This Row],[Nombres appareils installés]]</f>
        <v>3375</v>
      </c>
      <c r="Z150" s="189">
        <f>Tableau4[[#This Row],[AF 3 ($)]]/Tableau4[[#This Row],[Nombres appareils installés]]</f>
        <v>3375</v>
      </c>
      <c r="AA150" s="194">
        <f>Tableau4[[#This Row],[AF 3 par appareil ($)]]/Tableau4[[#This Row],[Surcoût par appareil ($)]]</f>
        <v>0.69808569389717978</v>
      </c>
      <c r="AB150" s="194">
        <f>Tableau4[[#This Row],[Couverture 3 (%)]]*Tableau4[[#This Row],[Nombres appareils installés]]</f>
        <v>0.69808569389717978</v>
      </c>
      <c r="AC150" s="189">
        <f>($AC$4+$AD$4*(Tableau4[[#This Row],[Capacité (BTU)]]/1000))*Tableau4[[#This Row],[Nombres appareils installés]]</f>
        <v>2900</v>
      </c>
      <c r="AD150" s="189">
        <f>Tableau4[[#This Row],[AF 4 ($)]]/Tableau4[[#This Row],[Nombres appareils installés]]</f>
        <v>2900</v>
      </c>
      <c r="AE150" s="195">
        <f>Tableau4[[#This Row],[Couverture 4 (%)]]*Tableau4[[#This Row],[Nombres appareils installés]]</f>
        <v>0.59983659623757668</v>
      </c>
      <c r="AF150" s="194">
        <f>Tableau4[[#This Row],[AF 4 par appareil  ($)]]/Tableau4[[#This Row],[Surcoût par appareil ($)]]</f>
        <v>0.59983659623757668</v>
      </c>
    </row>
    <row r="151" spans="2:32" x14ac:dyDescent="0.3">
      <c r="B151" s="196" t="s">
        <v>306</v>
      </c>
      <c r="C151" s="189" t="s">
        <v>310</v>
      </c>
      <c r="D151" s="189">
        <v>2</v>
      </c>
      <c r="E151" s="189">
        <v>175000</v>
      </c>
      <c r="F151" s="197">
        <f>Tableau4[[#This Row],[Economies totales (m3)]]/Tableau4[[#This Row],[Nombres appareils installés]]</f>
        <v>883.75</v>
      </c>
      <c r="G151" s="191">
        <v>1767.5</v>
      </c>
      <c r="H151" s="189">
        <f t="shared" si="4"/>
        <v>2434.65</v>
      </c>
      <c r="I151" s="189">
        <v>2400</v>
      </c>
      <c r="J151" s="189">
        <f>Tableau4[[#This Row],[Surcoût moyens de l''équipement ($)]]+Tableau4[[#This Row],[Surcoût moyen de l''installation ($)]]</f>
        <v>4834.6499999999996</v>
      </c>
      <c r="K151" s="189">
        <f>Tableau4[[#This Row],[Surcoût par appareil ($)]]*Tableau4[[#This Row],[Nombres appareils installés]]</f>
        <v>9669.2999999999993</v>
      </c>
      <c r="L151" s="191">
        <v>3550</v>
      </c>
      <c r="M151" s="189">
        <f t="shared" si="5"/>
        <v>3550</v>
      </c>
      <c r="N151" s="189">
        <f>Tableau4[[#This Row],[AF 0 ($)]]/Tableau4[[#This Row],[Nombres appareils installés]]</f>
        <v>1775</v>
      </c>
      <c r="O151" s="192">
        <f>(Tableau4[[#This Row],[AF accordée ($)]])/($J$6*D151)</f>
        <v>0.44337313283708846</v>
      </c>
      <c r="P151" s="192">
        <f>Tableau4[[#This Row],[Couverture 0 (%)]]*Tableau4[[#This Row],[Nombres appareils installés]]</f>
        <v>0.88674626567417691</v>
      </c>
      <c r="Q151" s="189">
        <f>($Q$4+$R$4*(Tableau4[[#This Row],[Capacité (BTU)]]/1000))*Tableau4[[#This Row],[Nombres appareils installés]]</f>
        <v>5750</v>
      </c>
      <c r="R151" s="189">
        <f>Tableau4[[#This Row],[AF 1 ($)]]/Tableau4[[#This Row],[Nombres appareils installés]]</f>
        <v>2875</v>
      </c>
      <c r="S151" s="192">
        <f>Tableau4[[#This Row],[AF 1 ($)]]/(J151*D151)</f>
        <v>0.59466559109759765</v>
      </c>
      <c r="T151" s="192">
        <f>Tableau4[[#This Row],[Couverture 1 (%)]]*Tableau4[[#This Row],[Nombres appareils installés]]</f>
        <v>1.1893311821951953</v>
      </c>
      <c r="U151" s="189">
        <f>($U$4+($V$4*(Tableau4[[#This Row],[Capacité (BTU)]]/1000)))*Tableau4[[#This Row],[Nombres appareils installés]]</f>
        <v>6625</v>
      </c>
      <c r="V151" s="189">
        <f>Tableau4[[#This Row],[AF 2 ($)]]/Tableau4[[#This Row],[Nombres appareils installés]]</f>
        <v>3312.5</v>
      </c>
      <c r="W151" s="193">
        <f>Tableau4[[#This Row],[AF 2 par appareil ($)]]/Tableau4[[#This Row],[Surcoût par appareil ($)]]</f>
        <v>0.68515818104723203</v>
      </c>
      <c r="X151" s="193">
        <f>Tableau4[[#This Row],[Couverture 2 (%)]]*Tableau4[[#This Row],[Nombres appareils installés]]</f>
        <v>1.3703163620944641</v>
      </c>
      <c r="Y151" s="189">
        <f>($Y$4+$Z$4*(Tableau4[[#This Row],[Capacité (BTU)]]/1000))*Tableau4[[#This Row],[Nombres appareils installés]]</f>
        <v>6750</v>
      </c>
      <c r="Z151" s="189">
        <f>Tableau4[[#This Row],[AF 3 ($)]]/Tableau4[[#This Row],[Nombres appareils installés]]</f>
        <v>3375</v>
      </c>
      <c r="AA151" s="194">
        <f>Tableau4[[#This Row],[AF 3 par appareil ($)]]/Tableau4[[#This Row],[Surcoût par appareil ($)]]</f>
        <v>0.69808569389717978</v>
      </c>
      <c r="AB151" s="194">
        <f>Tableau4[[#This Row],[Couverture 3 (%)]]*Tableau4[[#This Row],[Nombres appareils installés]]</f>
        <v>1.3961713877943596</v>
      </c>
      <c r="AC151" s="189">
        <f>($AC$4+$AD$4*(Tableau4[[#This Row],[Capacité (BTU)]]/1000))*Tableau4[[#This Row],[Nombres appareils installés]]</f>
        <v>5800</v>
      </c>
      <c r="AD151" s="189">
        <f>Tableau4[[#This Row],[AF 4 ($)]]/Tableau4[[#This Row],[Nombres appareils installés]]</f>
        <v>2900</v>
      </c>
      <c r="AE151" s="195">
        <f>Tableau4[[#This Row],[Couverture 4 (%)]]*Tableau4[[#This Row],[Nombres appareils installés]]</f>
        <v>1.1996731924751534</v>
      </c>
      <c r="AF151" s="194">
        <f>Tableau4[[#This Row],[AF 4 par appareil  ($)]]/Tableau4[[#This Row],[Surcoût par appareil ($)]]</f>
        <v>0.59983659623757668</v>
      </c>
    </row>
    <row r="152" spans="2:32" x14ac:dyDescent="0.3">
      <c r="B152" s="196" t="s">
        <v>306</v>
      </c>
      <c r="C152" s="189" t="s">
        <v>311</v>
      </c>
      <c r="D152" s="189">
        <v>2</v>
      </c>
      <c r="E152" s="189">
        <v>175000</v>
      </c>
      <c r="F152" s="197">
        <f>Tableau4[[#This Row],[Economies totales (m3)]]/Tableau4[[#This Row],[Nombres appareils installés]]</f>
        <v>883.75</v>
      </c>
      <c r="G152" s="191">
        <v>1767.5</v>
      </c>
      <c r="H152" s="189">
        <f t="shared" si="4"/>
        <v>2434.65</v>
      </c>
      <c r="I152" s="189">
        <v>2400</v>
      </c>
      <c r="J152" s="189">
        <f>Tableau4[[#This Row],[Surcoût moyens de l''équipement ($)]]+Tableau4[[#This Row],[Surcoût moyen de l''installation ($)]]</f>
        <v>4834.6499999999996</v>
      </c>
      <c r="K152" s="189">
        <f>Tableau4[[#This Row],[Surcoût par appareil ($)]]*Tableau4[[#This Row],[Nombres appareils installés]]</f>
        <v>9669.2999999999993</v>
      </c>
      <c r="L152" s="191">
        <v>3550</v>
      </c>
      <c r="M152" s="189">
        <f t="shared" si="5"/>
        <v>3550</v>
      </c>
      <c r="N152" s="189">
        <f>Tableau4[[#This Row],[AF 0 ($)]]/Tableau4[[#This Row],[Nombres appareils installés]]</f>
        <v>1775</v>
      </c>
      <c r="O152" s="192">
        <f>(Tableau4[[#This Row],[AF accordée ($)]])/($J$6*D152)</f>
        <v>0.44337313283708846</v>
      </c>
      <c r="P152" s="192">
        <f>Tableau4[[#This Row],[Couverture 0 (%)]]*Tableau4[[#This Row],[Nombres appareils installés]]</f>
        <v>0.88674626567417691</v>
      </c>
      <c r="Q152" s="189">
        <f>($Q$4+$R$4*(Tableau4[[#This Row],[Capacité (BTU)]]/1000))*Tableau4[[#This Row],[Nombres appareils installés]]</f>
        <v>5750</v>
      </c>
      <c r="R152" s="189">
        <f>Tableau4[[#This Row],[AF 1 ($)]]/Tableau4[[#This Row],[Nombres appareils installés]]</f>
        <v>2875</v>
      </c>
      <c r="S152" s="192">
        <f>Tableau4[[#This Row],[AF 1 ($)]]/(J152*D152)</f>
        <v>0.59466559109759765</v>
      </c>
      <c r="T152" s="192">
        <f>Tableau4[[#This Row],[Couverture 1 (%)]]*Tableau4[[#This Row],[Nombres appareils installés]]</f>
        <v>1.1893311821951953</v>
      </c>
      <c r="U152" s="189">
        <f>($U$4+($V$4*(Tableau4[[#This Row],[Capacité (BTU)]]/1000)))*Tableau4[[#This Row],[Nombres appareils installés]]</f>
        <v>6625</v>
      </c>
      <c r="V152" s="189">
        <f>Tableau4[[#This Row],[AF 2 ($)]]/Tableau4[[#This Row],[Nombres appareils installés]]</f>
        <v>3312.5</v>
      </c>
      <c r="W152" s="193">
        <f>Tableau4[[#This Row],[AF 2 par appareil ($)]]/Tableau4[[#This Row],[Surcoût par appareil ($)]]</f>
        <v>0.68515818104723203</v>
      </c>
      <c r="X152" s="193">
        <f>Tableau4[[#This Row],[Couverture 2 (%)]]*Tableau4[[#This Row],[Nombres appareils installés]]</f>
        <v>1.3703163620944641</v>
      </c>
      <c r="Y152" s="189">
        <f>($Y$4+$Z$4*(Tableau4[[#This Row],[Capacité (BTU)]]/1000))*Tableau4[[#This Row],[Nombres appareils installés]]</f>
        <v>6750</v>
      </c>
      <c r="Z152" s="189">
        <f>Tableau4[[#This Row],[AF 3 ($)]]/Tableau4[[#This Row],[Nombres appareils installés]]</f>
        <v>3375</v>
      </c>
      <c r="AA152" s="194">
        <f>Tableau4[[#This Row],[AF 3 par appareil ($)]]/Tableau4[[#This Row],[Surcoût par appareil ($)]]</f>
        <v>0.69808569389717978</v>
      </c>
      <c r="AB152" s="194">
        <f>Tableau4[[#This Row],[Couverture 3 (%)]]*Tableau4[[#This Row],[Nombres appareils installés]]</f>
        <v>1.3961713877943596</v>
      </c>
      <c r="AC152" s="189">
        <f>($AC$4+$AD$4*(Tableau4[[#This Row],[Capacité (BTU)]]/1000))*Tableau4[[#This Row],[Nombres appareils installés]]</f>
        <v>5800</v>
      </c>
      <c r="AD152" s="189">
        <f>Tableau4[[#This Row],[AF 4 ($)]]/Tableau4[[#This Row],[Nombres appareils installés]]</f>
        <v>2900</v>
      </c>
      <c r="AE152" s="195">
        <f>Tableau4[[#This Row],[Couverture 4 (%)]]*Tableau4[[#This Row],[Nombres appareils installés]]</f>
        <v>1.1996731924751534</v>
      </c>
      <c r="AF152" s="194">
        <f>Tableau4[[#This Row],[AF 4 par appareil  ($)]]/Tableau4[[#This Row],[Surcoût par appareil ($)]]</f>
        <v>0.59983659623757668</v>
      </c>
    </row>
    <row r="153" spans="2:32" x14ac:dyDescent="0.3">
      <c r="B153" s="196" t="s">
        <v>306</v>
      </c>
      <c r="C153" s="189" t="s">
        <v>216</v>
      </c>
      <c r="D153" s="189">
        <v>1</v>
      </c>
      <c r="E153" s="189">
        <v>180000</v>
      </c>
      <c r="F153" s="197">
        <f>Tableau4[[#This Row],[Economies totales (m3)]]/Tableau4[[#This Row],[Nombres appareils installés]]</f>
        <v>909</v>
      </c>
      <c r="G153" s="191">
        <v>909</v>
      </c>
      <c r="H153" s="189">
        <f t="shared" si="4"/>
        <v>2487.4</v>
      </c>
      <c r="I153" s="189">
        <v>2400</v>
      </c>
      <c r="J153" s="189">
        <f>Tableau4[[#This Row],[Surcoût moyens de l''équipement ($)]]+Tableau4[[#This Row],[Surcoût moyen de l''installation ($)]]</f>
        <v>4887.3999999999996</v>
      </c>
      <c r="K153" s="189">
        <f>Tableau4[[#This Row],[Surcoût par appareil ($)]]*Tableau4[[#This Row],[Nombres appareils installés]]</f>
        <v>4887.3999999999996</v>
      </c>
      <c r="L153" s="191">
        <v>1700</v>
      </c>
      <c r="M153" s="189">
        <f t="shared" si="5"/>
        <v>1800</v>
      </c>
      <c r="N153" s="189">
        <f>Tableau4[[#This Row],[AF 0 ($)]]/Tableau4[[#This Row],[Nombres appareils installés]]</f>
        <v>1800</v>
      </c>
      <c r="O153" s="192">
        <f>(Tableau4[[#This Row],[AF accordée ($)]])/($J$6*D153)</f>
        <v>0.42463905680171854</v>
      </c>
      <c r="P153" s="192">
        <f>Tableau4[[#This Row],[Couverture 0 (%)]]*Tableau4[[#This Row],[Nombres appareils installés]]</f>
        <v>0.42463905680171854</v>
      </c>
      <c r="Q153" s="189">
        <f>($Q$4+$R$4*(Tableau4[[#This Row],[Capacité (BTU)]]/1000))*Tableau4[[#This Row],[Nombres appareils installés]]</f>
        <v>2900</v>
      </c>
      <c r="R153" s="189">
        <f>Tableau4[[#This Row],[AF 1 ($)]]/Tableau4[[#This Row],[Nombres appareils installés]]</f>
        <v>2900</v>
      </c>
      <c r="S153" s="192">
        <f>Tableau4[[#This Row],[AF 1 ($)]]/(J153*D153)</f>
        <v>0.59336252404141265</v>
      </c>
      <c r="T153" s="192">
        <f>Tableau4[[#This Row],[Couverture 1 (%)]]*Tableau4[[#This Row],[Nombres appareils installés]]</f>
        <v>0.59336252404141265</v>
      </c>
      <c r="U153" s="189">
        <f>($U$4+($V$4*(Tableau4[[#This Row],[Capacité (BTU)]]/1000)))*Tableau4[[#This Row],[Nombres appareils installés]]</f>
        <v>3350</v>
      </c>
      <c r="V153" s="189">
        <f>Tableau4[[#This Row],[AF 2 ($)]]/Tableau4[[#This Row],[Nombres appareils installés]]</f>
        <v>3350</v>
      </c>
      <c r="W153" s="193">
        <f>Tableau4[[#This Row],[AF 2 par appareil ($)]]/Tableau4[[#This Row],[Surcoût par appareil ($)]]</f>
        <v>0.68543601915128705</v>
      </c>
      <c r="X153" s="193">
        <f>Tableau4[[#This Row],[Couverture 2 (%)]]*Tableau4[[#This Row],[Nombres appareils installés]]</f>
        <v>0.68543601915128705</v>
      </c>
      <c r="Y153" s="189">
        <f>($Y$4+$Z$4*(Tableau4[[#This Row],[Capacité (BTU)]]/1000))*Tableau4[[#This Row],[Nombres appareils installés]]</f>
        <v>3400</v>
      </c>
      <c r="Z153" s="189">
        <f>Tableau4[[#This Row],[AF 3 ($)]]/Tableau4[[#This Row],[Nombres appareils installés]]</f>
        <v>3400</v>
      </c>
      <c r="AA153" s="194">
        <f>Tableau4[[#This Row],[AF 3 par appareil ($)]]/Tableau4[[#This Row],[Surcoût par appareil ($)]]</f>
        <v>0.69566640749682862</v>
      </c>
      <c r="AB153" s="194">
        <f>Tableau4[[#This Row],[Couverture 3 (%)]]*Tableau4[[#This Row],[Nombres appareils installés]]</f>
        <v>0.69566640749682862</v>
      </c>
      <c r="AC153" s="189">
        <f>($AC$4+$AD$4*(Tableau4[[#This Row],[Capacité (BTU)]]/1000))*Tableau4[[#This Row],[Nombres appareils installés]]</f>
        <v>2920</v>
      </c>
      <c r="AD153" s="189">
        <f>Tableau4[[#This Row],[AF 4 ($)]]/Tableau4[[#This Row],[Nombres appareils installés]]</f>
        <v>2920</v>
      </c>
      <c r="AE153" s="195">
        <f>Tableau4[[#This Row],[Couverture 4 (%)]]*Tableau4[[#This Row],[Nombres appareils installés]]</f>
        <v>0.59745467937962926</v>
      </c>
      <c r="AF153" s="194">
        <f>Tableau4[[#This Row],[AF 4 par appareil  ($)]]/Tableau4[[#This Row],[Surcoût par appareil ($)]]</f>
        <v>0.59745467937962926</v>
      </c>
    </row>
    <row r="154" spans="2:32" x14ac:dyDescent="0.3">
      <c r="B154" s="196" t="s">
        <v>306</v>
      </c>
      <c r="C154" s="189" t="s">
        <v>216</v>
      </c>
      <c r="D154" s="189">
        <v>3</v>
      </c>
      <c r="E154" s="189">
        <v>180000</v>
      </c>
      <c r="F154" s="197">
        <f>Tableau4[[#This Row],[Economies totales (m3)]]/Tableau4[[#This Row],[Nombres appareils installés]]</f>
        <v>909</v>
      </c>
      <c r="G154" s="191">
        <v>2727</v>
      </c>
      <c r="H154" s="189">
        <f t="shared" si="4"/>
        <v>2487.4</v>
      </c>
      <c r="I154" s="189">
        <v>2400</v>
      </c>
      <c r="J154" s="189">
        <f>Tableau4[[#This Row],[Surcoût moyens de l''équipement ($)]]+Tableau4[[#This Row],[Surcoût moyen de l''installation ($)]]</f>
        <v>4887.3999999999996</v>
      </c>
      <c r="K154" s="189">
        <f>Tableau4[[#This Row],[Surcoût par appareil ($)]]*Tableau4[[#This Row],[Nombres appareils installés]]</f>
        <v>14662.199999999999</v>
      </c>
      <c r="L154" s="191">
        <v>5100</v>
      </c>
      <c r="M154" s="189">
        <f t="shared" si="5"/>
        <v>5400</v>
      </c>
      <c r="N154" s="189">
        <f>Tableau4[[#This Row],[AF 0 ($)]]/Tableau4[[#This Row],[Nombres appareils installés]]</f>
        <v>1800</v>
      </c>
      <c r="O154" s="192">
        <f>(Tableau4[[#This Row],[AF accordée ($)]])/($J$6*D154)</f>
        <v>0.42463905680171854</v>
      </c>
      <c r="P154" s="192">
        <f>Tableau4[[#This Row],[Couverture 0 (%)]]*Tableau4[[#This Row],[Nombres appareils installés]]</f>
        <v>1.2739171704051557</v>
      </c>
      <c r="Q154" s="189">
        <f>($Q$4+$R$4*(Tableau4[[#This Row],[Capacité (BTU)]]/1000))*Tableau4[[#This Row],[Nombres appareils installés]]</f>
        <v>8700</v>
      </c>
      <c r="R154" s="189">
        <f>Tableau4[[#This Row],[AF 1 ($)]]/Tableau4[[#This Row],[Nombres appareils installés]]</f>
        <v>2900</v>
      </c>
      <c r="S154" s="192">
        <f>Tableau4[[#This Row],[AF 1 ($)]]/(J154*D154)</f>
        <v>0.59336252404141265</v>
      </c>
      <c r="T154" s="192">
        <f>Tableau4[[#This Row],[Couverture 1 (%)]]*Tableau4[[#This Row],[Nombres appareils installés]]</f>
        <v>1.780087572124238</v>
      </c>
      <c r="U154" s="189">
        <f>($U$4+($V$4*(Tableau4[[#This Row],[Capacité (BTU)]]/1000)))*Tableau4[[#This Row],[Nombres appareils installés]]</f>
        <v>10050</v>
      </c>
      <c r="V154" s="189">
        <f>Tableau4[[#This Row],[AF 2 ($)]]/Tableau4[[#This Row],[Nombres appareils installés]]</f>
        <v>3350</v>
      </c>
      <c r="W154" s="193">
        <f>Tableau4[[#This Row],[AF 2 par appareil ($)]]/Tableau4[[#This Row],[Surcoût par appareil ($)]]</f>
        <v>0.68543601915128705</v>
      </c>
      <c r="X154" s="193">
        <f>Tableau4[[#This Row],[Couverture 2 (%)]]*Tableau4[[#This Row],[Nombres appareils installés]]</f>
        <v>2.0563080574538612</v>
      </c>
      <c r="Y154" s="189">
        <f>($Y$4+$Z$4*(Tableau4[[#This Row],[Capacité (BTU)]]/1000))*Tableau4[[#This Row],[Nombres appareils installés]]</f>
        <v>10200</v>
      </c>
      <c r="Z154" s="189">
        <f>Tableau4[[#This Row],[AF 3 ($)]]/Tableau4[[#This Row],[Nombres appareils installés]]</f>
        <v>3400</v>
      </c>
      <c r="AA154" s="194">
        <f>Tableau4[[#This Row],[AF 3 par appareil ($)]]/Tableau4[[#This Row],[Surcoût par appareil ($)]]</f>
        <v>0.69566640749682862</v>
      </c>
      <c r="AB154" s="194">
        <f>Tableau4[[#This Row],[Couverture 3 (%)]]*Tableau4[[#This Row],[Nombres appareils installés]]</f>
        <v>2.0869992224904861</v>
      </c>
      <c r="AC154" s="189">
        <f>($AC$4+$AD$4*(Tableau4[[#This Row],[Capacité (BTU)]]/1000))*Tableau4[[#This Row],[Nombres appareils installés]]</f>
        <v>8760</v>
      </c>
      <c r="AD154" s="189">
        <f>Tableau4[[#This Row],[AF 4 ($)]]/Tableau4[[#This Row],[Nombres appareils installés]]</f>
        <v>2920</v>
      </c>
      <c r="AE154" s="195">
        <f>Tableau4[[#This Row],[Couverture 4 (%)]]*Tableau4[[#This Row],[Nombres appareils installés]]</f>
        <v>1.7923640381388877</v>
      </c>
      <c r="AF154" s="194">
        <f>Tableau4[[#This Row],[AF 4 par appareil  ($)]]/Tableau4[[#This Row],[Surcoût par appareil ($)]]</f>
        <v>0.59745467937962926</v>
      </c>
    </row>
    <row r="155" spans="2:32" x14ac:dyDescent="0.3">
      <c r="B155" s="196" t="s">
        <v>306</v>
      </c>
      <c r="C155" s="189" t="s">
        <v>312</v>
      </c>
      <c r="D155" s="189">
        <v>1</v>
      </c>
      <c r="E155" s="189">
        <v>200000</v>
      </c>
      <c r="F155" s="197">
        <f>Tableau4[[#This Row],[Economies totales (m3)]]/Tableau4[[#This Row],[Nombres appareils installés]]</f>
        <v>1010</v>
      </c>
      <c r="G155" s="191">
        <v>1010</v>
      </c>
      <c r="H155" s="189">
        <f t="shared" si="4"/>
        <v>2713.4</v>
      </c>
      <c r="I155" s="189">
        <v>2400</v>
      </c>
      <c r="J155" s="189">
        <f>Tableau4[[#This Row],[Surcoût moyens de l''équipement ($)]]+Tableau4[[#This Row],[Surcoût moyen de l''installation ($)]]</f>
        <v>5113.3999999999996</v>
      </c>
      <c r="K155" s="189">
        <f>Tableau4[[#This Row],[Surcoût par appareil ($)]]*Tableau4[[#This Row],[Nombres appareils installés]]</f>
        <v>5113.3999999999996</v>
      </c>
      <c r="L155" s="191">
        <v>1900</v>
      </c>
      <c r="M155" s="189">
        <f t="shared" si="5"/>
        <v>1900</v>
      </c>
      <c r="N155" s="189">
        <f>Tableau4[[#This Row],[AF 0 ($)]]/Tableau4[[#This Row],[Nombres appareils installés]]</f>
        <v>1900</v>
      </c>
      <c r="O155" s="192">
        <f>(Tableau4[[#This Row],[AF accordée ($)]])/($J$6*D155)</f>
        <v>0.47459659289603834</v>
      </c>
      <c r="P155" s="192">
        <f>Tableau4[[#This Row],[Couverture 0 (%)]]*Tableau4[[#This Row],[Nombres appareils installés]]</f>
        <v>0.47459659289603834</v>
      </c>
      <c r="Q155" s="189">
        <f>($Q$4+$R$4*(Tableau4[[#This Row],[Capacité (BTU)]]/1000))*Tableau4[[#This Row],[Nombres appareils installés]]</f>
        <v>3000</v>
      </c>
      <c r="R155" s="189">
        <f>Tableau4[[#This Row],[AF 1 ($)]]/Tableau4[[#This Row],[Nombres appareils installés]]</f>
        <v>3000</v>
      </c>
      <c r="S155" s="192">
        <f>Tableau4[[#This Row],[AF 1 ($)]]/(J155*D155)</f>
        <v>0.58669378495717139</v>
      </c>
      <c r="T155" s="192">
        <f>Tableau4[[#This Row],[Couverture 1 (%)]]*Tableau4[[#This Row],[Nombres appareils installés]]</f>
        <v>0.58669378495717139</v>
      </c>
      <c r="U155" s="189">
        <f>($U$4+($V$4*(Tableau4[[#This Row],[Capacité (BTU)]]/1000)))*Tableau4[[#This Row],[Nombres appareils installés]]</f>
        <v>3500</v>
      </c>
      <c r="V155" s="189">
        <f>Tableau4[[#This Row],[AF 2 ($)]]/Tableau4[[#This Row],[Nombres appareils installés]]</f>
        <v>3500</v>
      </c>
      <c r="W155" s="193">
        <f>Tableau4[[#This Row],[AF 2 par appareil ($)]]/Tableau4[[#This Row],[Surcoût par appareil ($)]]</f>
        <v>0.68447608245003333</v>
      </c>
      <c r="X155" s="193">
        <f>Tableau4[[#This Row],[Couverture 2 (%)]]*Tableau4[[#This Row],[Nombres appareils installés]]</f>
        <v>0.68447608245003333</v>
      </c>
      <c r="Y155" s="189">
        <f>($Y$4+$Z$4*(Tableau4[[#This Row],[Capacité (BTU)]]/1000))*Tableau4[[#This Row],[Nombres appareils installés]]</f>
        <v>3500</v>
      </c>
      <c r="Z155" s="189">
        <f>Tableau4[[#This Row],[AF 3 ($)]]/Tableau4[[#This Row],[Nombres appareils installés]]</f>
        <v>3500</v>
      </c>
      <c r="AA155" s="194">
        <f>Tableau4[[#This Row],[AF 3 par appareil ($)]]/Tableau4[[#This Row],[Surcoût par appareil ($)]]</f>
        <v>0.68447608245003333</v>
      </c>
      <c r="AB155" s="194">
        <f>Tableau4[[#This Row],[Couverture 3 (%)]]*Tableau4[[#This Row],[Nombres appareils installés]]</f>
        <v>0.68447608245003333</v>
      </c>
      <c r="AC155" s="189">
        <f>($AC$4+$AD$4*(Tableau4[[#This Row],[Capacité (BTU)]]/1000))*Tableau4[[#This Row],[Nombres appareils installés]]</f>
        <v>3000</v>
      </c>
      <c r="AD155" s="189">
        <f>Tableau4[[#This Row],[AF 4 ($)]]/Tableau4[[#This Row],[Nombres appareils installés]]</f>
        <v>3000</v>
      </c>
      <c r="AE155" s="195">
        <f>Tableau4[[#This Row],[Couverture 4 (%)]]*Tableau4[[#This Row],[Nombres appareils installés]]</f>
        <v>0.58669378495717139</v>
      </c>
      <c r="AF155" s="194">
        <f>Tableau4[[#This Row],[AF 4 par appareil  ($)]]/Tableau4[[#This Row],[Surcoût par appareil ($)]]</f>
        <v>0.58669378495717139</v>
      </c>
    </row>
    <row r="156" spans="2:32" x14ac:dyDescent="0.3">
      <c r="B156" s="196" t="s">
        <v>306</v>
      </c>
      <c r="C156" s="189" t="s">
        <v>313</v>
      </c>
      <c r="D156" s="189">
        <v>1</v>
      </c>
      <c r="E156" s="189">
        <v>215000</v>
      </c>
      <c r="F156" s="197">
        <f>Tableau4[[#This Row],[Economies totales (m3)]]/Tableau4[[#This Row],[Nombres appareils installés]]</f>
        <v>1085.75</v>
      </c>
      <c r="G156" s="191">
        <v>1085.75</v>
      </c>
      <c r="H156" s="189">
        <f t="shared" si="4"/>
        <v>2898.6499999999996</v>
      </c>
      <c r="I156" s="189">
        <v>2400</v>
      </c>
      <c r="J156" s="189">
        <f>Tableau4[[#This Row],[Surcoût moyens de l''équipement ($)]]+Tableau4[[#This Row],[Surcoût moyen de l''installation ($)]]</f>
        <v>5298.65</v>
      </c>
      <c r="K156" s="189">
        <f>Tableau4[[#This Row],[Surcoût par appareil ($)]]*Tableau4[[#This Row],[Nombres appareils installés]]</f>
        <v>5298.65</v>
      </c>
      <c r="L156" s="191">
        <v>1975</v>
      </c>
      <c r="M156" s="189">
        <f t="shared" si="5"/>
        <v>1975</v>
      </c>
      <c r="N156" s="189">
        <f>Tableau4[[#This Row],[AF 0 ($)]]/Tableau4[[#This Row],[Nombres appareils installés]]</f>
        <v>1975</v>
      </c>
      <c r="O156" s="192">
        <f>(Tableau4[[#This Row],[AF accordée ($)]])/($J$6*D156)</f>
        <v>0.49333066893140831</v>
      </c>
      <c r="P156" s="192">
        <f>Tableau4[[#This Row],[Couverture 0 (%)]]*Tableau4[[#This Row],[Nombres appareils installés]]</f>
        <v>0.49333066893140831</v>
      </c>
      <c r="Q156" s="189">
        <f>($Q$4+$R$4*(Tableau4[[#This Row],[Capacité (BTU)]]/1000))*Tableau4[[#This Row],[Nombres appareils installés]]</f>
        <v>3075</v>
      </c>
      <c r="R156" s="189">
        <f>Tableau4[[#This Row],[AF 1 ($)]]/Tableau4[[#This Row],[Nombres appareils installés]]</f>
        <v>3075</v>
      </c>
      <c r="S156" s="192">
        <f>Tableau4[[#This Row],[AF 1 ($)]]/(J156*D156)</f>
        <v>0.58033650080680932</v>
      </c>
      <c r="T156" s="192">
        <f>Tableau4[[#This Row],[Couverture 1 (%)]]*Tableau4[[#This Row],[Nombres appareils installés]]</f>
        <v>0.58033650080680932</v>
      </c>
      <c r="U156" s="189">
        <f>($U$4+($V$4*(Tableau4[[#This Row],[Capacité (BTU)]]/1000)))*Tableau4[[#This Row],[Nombres appareils installés]]</f>
        <v>3612.5</v>
      </c>
      <c r="V156" s="189">
        <f>Tableau4[[#This Row],[AF 2 ($)]]/Tableau4[[#This Row],[Nombres appareils installés]]</f>
        <v>3612.5</v>
      </c>
      <c r="W156" s="193">
        <f>Tableau4[[#This Row],[AF 2 par appareil ($)]]/Tableau4[[#This Row],[Surcoût par appareil ($)]]</f>
        <v>0.68177743387466627</v>
      </c>
      <c r="X156" s="193">
        <f>Tableau4[[#This Row],[Couverture 2 (%)]]*Tableau4[[#This Row],[Nombres appareils installés]]</f>
        <v>0.68177743387466627</v>
      </c>
      <c r="Y156" s="189">
        <f>($Y$4+$Z$4*(Tableau4[[#This Row],[Capacité (BTU)]]/1000))*Tableau4[[#This Row],[Nombres appareils installés]]</f>
        <v>3575</v>
      </c>
      <c r="Z156" s="189">
        <f>Tableau4[[#This Row],[AF 3 ($)]]/Tableau4[[#This Row],[Nombres appareils installés]]</f>
        <v>3575</v>
      </c>
      <c r="AA156" s="194">
        <f>Tableau4[[#This Row],[AF 3 par appareil ($)]]/Tableau4[[#This Row],[Surcoût par appareil ($)]]</f>
        <v>0.67470015947458317</v>
      </c>
      <c r="AB156" s="194">
        <f>Tableau4[[#This Row],[Couverture 3 (%)]]*Tableau4[[#This Row],[Nombres appareils installés]]</f>
        <v>0.67470015947458317</v>
      </c>
      <c r="AC156" s="189">
        <f>($AC$4+$AD$4*(Tableau4[[#This Row],[Capacité (BTU)]]/1000))*Tableau4[[#This Row],[Nombres appareils installés]]</f>
        <v>3060</v>
      </c>
      <c r="AD156" s="189">
        <f>Tableau4[[#This Row],[AF 4 ($)]]/Tableau4[[#This Row],[Nombres appareils installés]]</f>
        <v>3060</v>
      </c>
      <c r="AE156" s="195">
        <f>Tableau4[[#This Row],[Couverture 4 (%)]]*Tableau4[[#This Row],[Nombres appareils installés]]</f>
        <v>0.57750559104677612</v>
      </c>
      <c r="AF156" s="194">
        <f>Tableau4[[#This Row],[AF 4 par appareil  ($)]]/Tableau4[[#This Row],[Surcoût par appareil ($)]]</f>
        <v>0.57750559104677612</v>
      </c>
    </row>
    <row r="157" spans="2:32" x14ac:dyDescent="0.3">
      <c r="B157" s="196" t="s">
        <v>306</v>
      </c>
      <c r="C157" s="189" t="s">
        <v>314</v>
      </c>
      <c r="D157" s="189">
        <v>2</v>
      </c>
      <c r="E157" s="189">
        <v>260000</v>
      </c>
      <c r="F157" s="197">
        <f>Tableau4[[#This Row],[Economies totales (m3)]]/Tableau4[[#This Row],[Nombres appareils installés]]</f>
        <v>1313</v>
      </c>
      <c r="G157" s="191">
        <v>2626</v>
      </c>
      <c r="H157" s="189">
        <f t="shared" si="4"/>
        <v>3535.3999999999996</v>
      </c>
      <c r="I157" s="189">
        <v>2400</v>
      </c>
      <c r="J157" s="189">
        <f>Tableau4[[#This Row],[Surcoût moyens de l''équipement ($)]]+Tableau4[[#This Row],[Surcoût moyen de l''installation ($)]]</f>
        <v>5935.4</v>
      </c>
      <c r="K157" s="189">
        <f>Tableau4[[#This Row],[Surcoût par appareil ($)]]*Tableau4[[#This Row],[Nombres appareils installés]]</f>
        <v>11870.8</v>
      </c>
      <c r="L157" s="191">
        <v>4400</v>
      </c>
      <c r="M157" s="189">
        <f t="shared" si="5"/>
        <v>4400</v>
      </c>
      <c r="N157" s="189">
        <f>Tableau4[[#This Row],[AF 0 ($)]]/Tableau4[[#This Row],[Nombres appareils installés]]</f>
        <v>2200</v>
      </c>
      <c r="O157" s="192">
        <f>(Tableau4[[#This Row],[AF accordée ($)]])/($J$6*D157)</f>
        <v>0.54953289703751806</v>
      </c>
      <c r="P157" s="192">
        <f>Tableau4[[#This Row],[Couverture 0 (%)]]*Tableau4[[#This Row],[Nombres appareils installés]]</f>
        <v>1.0990657940750361</v>
      </c>
      <c r="Q157" s="189">
        <f>($Q$4+$R$4*(Tableau4[[#This Row],[Capacité (BTU)]]/1000))*Tableau4[[#This Row],[Nombres appareils installés]]</f>
        <v>6600</v>
      </c>
      <c r="R157" s="189">
        <f>Tableau4[[#This Row],[AF 1 ($)]]/Tableau4[[#This Row],[Nombres appareils installés]]</f>
        <v>3300</v>
      </c>
      <c r="S157" s="192">
        <f>Tableau4[[#This Row],[AF 1 ($)]]/(J157*D157)</f>
        <v>0.55598611719513436</v>
      </c>
      <c r="T157" s="192">
        <f>Tableau4[[#This Row],[Couverture 1 (%)]]*Tableau4[[#This Row],[Nombres appareils installés]]</f>
        <v>1.1119722343902687</v>
      </c>
      <c r="U157" s="189">
        <f>($U$4+($V$4*(Tableau4[[#This Row],[Capacité (BTU)]]/1000)))*Tableau4[[#This Row],[Nombres appareils installés]]</f>
        <v>7900</v>
      </c>
      <c r="V157" s="189">
        <f>Tableau4[[#This Row],[AF 2 ($)]]/Tableau4[[#This Row],[Nombres appareils installés]]</f>
        <v>3950</v>
      </c>
      <c r="W157" s="193">
        <f>Tableau4[[#This Row],[AF 2 par appareil ($)]]/Tableau4[[#This Row],[Surcoût par appareil ($)]]</f>
        <v>0.66549853421841831</v>
      </c>
      <c r="X157" s="193">
        <f>Tableau4[[#This Row],[Couverture 2 (%)]]*Tableau4[[#This Row],[Nombres appareils installés]]</f>
        <v>1.3309970684368366</v>
      </c>
      <c r="Y157" s="189">
        <f>($Y$4+$Z$4*(Tableau4[[#This Row],[Capacité (BTU)]]/1000))*Tableau4[[#This Row],[Nombres appareils installés]]</f>
        <v>7600</v>
      </c>
      <c r="Z157" s="189">
        <f>Tableau4[[#This Row],[AF 3 ($)]]/Tableau4[[#This Row],[Nombres appareils installés]]</f>
        <v>3800</v>
      </c>
      <c r="AA157" s="194">
        <f>Tableau4[[#This Row],[AF 3 par appareil ($)]]/Tableau4[[#This Row],[Surcoût par appareil ($)]]</f>
        <v>0.64022643798227585</v>
      </c>
      <c r="AB157" s="194">
        <f>Tableau4[[#This Row],[Couverture 3 (%)]]*Tableau4[[#This Row],[Nombres appareils installés]]</f>
        <v>1.2804528759645517</v>
      </c>
      <c r="AC157" s="189">
        <f>($AC$4+$AD$4*(Tableau4[[#This Row],[Capacité (BTU)]]/1000))*Tableau4[[#This Row],[Nombres appareils installés]]</f>
        <v>6480</v>
      </c>
      <c r="AD157" s="189">
        <f>Tableau4[[#This Row],[AF 4 ($)]]/Tableau4[[#This Row],[Nombres appareils installés]]</f>
        <v>3240</v>
      </c>
      <c r="AE157" s="195">
        <f>Tableau4[[#This Row],[Couverture 4 (%)]]*Tableau4[[#This Row],[Nombres appareils installés]]</f>
        <v>1.0917545574013547</v>
      </c>
      <c r="AF157" s="194">
        <f>Tableau4[[#This Row],[AF 4 par appareil  ($)]]/Tableau4[[#This Row],[Surcoût par appareil ($)]]</f>
        <v>0.54587727870067737</v>
      </c>
    </row>
    <row r="158" spans="2:32" x14ac:dyDescent="0.3">
      <c r="B158" s="196" t="s">
        <v>306</v>
      </c>
      <c r="C158" s="189" t="s">
        <v>315</v>
      </c>
      <c r="D158" s="189">
        <v>6</v>
      </c>
      <c r="E158" s="189">
        <v>260000</v>
      </c>
      <c r="F158" s="197">
        <f>Tableau4[[#This Row],[Economies totales (m3)]]/Tableau4[[#This Row],[Nombres appareils installés]]</f>
        <v>1313</v>
      </c>
      <c r="G158" s="191">
        <v>7878</v>
      </c>
      <c r="H158" s="189">
        <f t="shared" si="4"/>
        <v>3535.3999999999996</v>
      </c>
      <c r="I158" s="189">
        <v>2400</v>
      </c>
      <c r="J158" s="189">
        <f>Tableau4[[#This Row],[Surcoût moyens de l''équipement ($)]]+Tableau4[[#This Row],[Surcoût moyen de l''installation ($)]]</f>
        <v>5935.4</v>
      </c>
      <c r="K158" s="189">
        <f>Tableau4[[#This Row],[Surcoût par appareil ($)]]*Tableau4[[#This Row],[Nombres appareils installés]]</f>
        <v>35612.399999999994</v>
      </c>
      <c r="L158" s="191">
        <v>13200</v>
      </c>
      <c r="M158" s="189">
        <f t="shared" si="5"/>
        <v>13200</v>
      </c>
      <c r="N158" s="189">
        <f>Tableau4[[#This Row],[AF 0 ($)]]/Tableau4[[#This Row],[Nombres appareils installés]]</f>
        <v>2200</v>
      </c>
      <c r="O158" s="192">
        <f>(Tableau4[[#This Row],[AF accordée ($)]])/($J$6*D158)</f>
        <v>0.54953289703751806</v>
      </c>
      <c r="P158" s="192">
        <f>Tableau4[[#This Row],[Couverture 0 (%)]]*Tableau4[[#This Row],[Nombres appareils installés]]</f>
        <v>3.2971973822251082</v>
      </c>
      <c r="Q158" s="189">
        <f>($Q$4+$R$4*(Tableau4[[#This Row],[Capacité (BTU)]]/1000))*Tableau4[[#This Row],[Nombres appareils installés]]</f>
        <v>19800</v>
      </c>
      <c r="R158" s="189">
        <f>Tableau4[[#This Row],[AF 1 ($)]]/Tableau4[[#This Row],[Nombres appareils installés]]</f>
        <v>3300</v>
      </c>
      <c r="S158" s="192">
        <f>Tableau4[[#This Row],[AF 1 ($)]]/(J158*D158)</f>
        <v>0.55598611719513436</v>
      </c>
      <c r="T158" s="192">
        <f>Tableau4[[#This Row],[Couverture 1 (%)]]*Tableau4[[#This Row],[Nombres appareils installés]]</f>
        <v>3.3359167031708061</v>
      </c>
      <c r="U158" s="189">
        <f>($U$4+($V$4*(Tableau4[[#This Row],[Capacité (BTU)]]/1000)))*Tableau4[[#This Row],[Nombres appareils installés]]</f>
        <v>23700</v>
      </c>
      <c r="V158" s="189">
        <f>Tableau4[[#This Row],[AF 2 ($)]]/Tableau4[[#This Row],[Nombres appareils installés]]</f>
        <v>3950</v>
      </c>
      <c r="W158" s="193">
        <f>Tableau4[[#This Row],[AF 2 par appareil ($)]]/Tableau4[[#This Row],[Surcoût par appareil ($)]]</f>
        <v>0.66549853421841831</v>
      </c>
      <c r="X158" s="193">
        <f>Tableau4[[#This Row],[Couverture 2 (%)]]*Tableau4[[#This Row],[Nombres appareils installés]]</f>
        <v>3.9929912053105099</v>
      </c>
      <c r="Y158" s="189">
        <f>($Y$4+$Z$4*(Tableau4[[#This Row],[Capacité (BTU)]]/1000))*Tableau4[[#This Row],[Nombres appareils installés]]</f>
        <v>22800</v>
      </c>
      <c r="Z158" s="189">
        <f>Tableau4[[#This Row],[AF 3 ($)]]/Tableau4[[#This Row],[Nombres appareils installés]]</f>
        <v>3800</v>
      </c>
      <c r="AA158" s="194">
        <f>Tableau4[[#This Row],[AF 3 par appareil ($)]]/Tableau4[[#This Row],[Surcoût par appareil ($)]]</f>
        <v>0.64022643798227585</v>
      </c>
      <c r="AB158" s="194">
        <f>Tableau4[[#This Row],[Couverture 3 (%)]]*Tableau4[[#This Row],[Nombres appareils installés]]</f>
        <v>3.8413586278936549</v>
      </c>
      <c r="AC158" s="189">
        <f>($AC$4+$AD$4*(Tableau4[[#This Row],[Capacité (BTU)]]/1000))*Tableau4[[#This Row],[Nombres appareils installés]]</f>
        <v>19440</v>
      </c>
      <c r="AD158" s="189">
        <f>Tableau4[[#This Row],[AF 4 ($)]]/Tableau4[[#This Row],[Nombres appareils installés]]</f>
        <v>3240</v>
      </c>
      <c r="AE158" s="195">
        <f>Tableau4[[#This Row],[Couverture 4 (%)]]*Tableau4[[#This Row],[Nombres appareils installés]]</f>
        <v>3.2752636722040642</v>
      </c>
      <c r="AF158" s="194">
        <f>Tableau4[[#This Row],[AF 4 par appareil  ($)]]/Tableau4[[#This Row],[Surcoût par appareil ($)]]</f>
        <v>0.54587727870067737</v>
      </c>
    </row>
    <row r="159" spans="2:32" x14ac:dyDescent="0.3">
      <c r="B159" s="196" t="s">
        <v>306</v>
      </c>
      <c r="C159" s="189" t="s">
        <v>316</v>
      </c>
      <c r="D159" s="189">
        <v>6</v>
      </c>
      <c r="E159" s="189">
        <v>260000</v>
      </c>
      <c r="F159" s="197">
        <f>Tableau4[[#This Row],[Economies totales (m3)]]/Tableau4[[#This Row],[Nombres appareils installés]]</f>
        <v>1313</v>
      </c>
      <c r="G159" s="191">
        <v>7878</v>
      </c>
      <c r="H159" s="189">
        <f t="shared" si="4"/>
        <v>3535.3999999999996</v>
      </c>
      <c r="I159" s="189">
        <v>2400</v>
      </c>
      <c r="J159" s="189">
        <f>Tableau4[[#This Row],[Surcoût moyens de l''équipement ($)]]+Tableau4[[#This Row],[Surcoût moyen de l''installation ($)]]</f>
        <v>5935.4</v>
      </c>
      <c r="K159" s="189">
        <f>Tableau4[[#This Row],[Surcoût par appareil ($)]]*Tableau4[[#This Row],[Nombres appareils installés]]</f>
        <v>35612.399999999994</v>
      </c>
      <c r="L159" s="191">
        <v>10200</v>
      </c>
      <c r="M159" s="189">
        <f t="shared" si="5"/>
        <v>13200</v>
      </c>
      <c r="N159" s="189">
        <f>Tableau4[[#This Row],[AF 0 ($)]]/Tableau4[[#This Row],[Nombres appareils installés]]</f>
        <v>2200</v>
      </c>
      <c r="O159" s="192">
        <f>(Tableau4[[#This Row],[AF accordée ($)]])/($J$6*D159)</f>
        <v>0.42463905680171854</v>
      </c>
      <c r="P159" s="192">
        <f>Tableau4[[#This Row],[Couverture 0 (%)]]*Tableau4[[#This Row],[Nombres appareils installés]]</f>
        <v>2.5478343408103115</v>
      </c>
      <c r="Q159" s="189">
        <f>($Q$4+$R$4*(Tableau4[[#This Row],[Capacité (BTU)]]/1000))*Tableau4[[#This Row],[Nombres appareils installés]]</f>
        <v>19800</v>
      </c>
      <c r="R159" s="189">
        <f>Tableau4[[#This Row],[AF 1 ($)]]/Tableau4[[#This Row],[Nombres appareils installés]]</f>
        <v>3300</v>
      </c>
      <c r="S159" s="192">
        <f>Tableau4[[#This Row],[AF 1 ($)]]/(J159*D159)</f>
        <v>0.55598611719513436</v>
      </c>
      <c r="T159" s="192">
        <f>Tableau4[[#This Row],[Couverture 1 (%)]]*Tableau4[[#This Row],[Nombres appareils installés]]</f>
        <v>3.3359167031708061</v>
      </c>
      <c r="U159" s="189">
        <f>($U$4+($V$4*(Tableau4[[#This Row],[Capacité (BTU)]]/1000)))*Tableau4[[#This Row],[Nombres appareils installés]]</f>
        <v>23700</v>
      </c>
      <c r="V159" s="189">
        <f>Tableau4[[#This Row],[AF 2 ($)]]/Tableau4[[#This Row],[Nombres appareils installés]]</f>
        <v>3950</v>
      </c>
      <c r="W159" s="193">
        <f>Tableau4[[#This Row],[AF 2 par appareil ($)]]/Tableau4[[#This Row],[Surcoût par appareil ($)]]</f>
        <v>0.66549853421841831</v>
      </c>
      <c r="X159" s="193">
        <f>Tableau4[[#This Row],[Couverture 2 (%)]]*Tableau4[[#This Row],[Nombres appareils installés]]</f>
        <v>3.9929912053105099</v>
      </c>
      <c r="Y159" s="189">
        <f>($Y$4+$Z$4*(Tableau4[[#This Row],[Capacité (BTU)]]/1000))*Tableau4[[#This Row],[Nombres appareils installés]]</f>
        <v>22800</v>
      </c>
      <c r="Z159" s="189">
        <f>Tableau4[[#This Row],[AF 3 ($)]]/Tableau4[[#This Row],[Nombres appareils installés]]</f>
        <v>3800</v>
      </c>
      <c r="AA159" s="194">
        <f>Tableau4[[#This Row],[AF 3 par appareil ($)]]/Tableau4[[#This Row],[Surcoût par appareil ($)]]</f>
        <v>0.64022643798227585</v>
      </c>
      <c r="AB159" s="194">
        <f>Tableau4[[#This Row],[Couverture 3 (%)]]*Tableau4[[#This Row],[Nombres appareils installés]]</f>
        <v>3.8413586278936549</v>
      </c>
      <c r="AC159" s="189">
        <f>($AC$4+$AD$4*(Tableau4[[#This Row],[Capacité (BTU)]]/1000))*Tableau4[[#This Row],[Nombres appareils installés]]</f>
        <v>19440</v>
      </c>
      <c r="AD159" s="189">
        <f>Tableau4[[#This Row],[AF 4 ($)]]/Tableau4[[#This Row],[Nombres appareils installés]]</f>
        <v>3240</v>
      </c>
      <c r="AE159" s="195">
        <f>Tableau4[[#This Row],[Couverture 4 (%)]]*Tableau4[[#This Row],[Nombres appareils installés]]</f>
        <v>3.2752636722040642</v>
      </c>
      <c r="AF159" s="194">
        <f>Tableau4[[#This Row],[AF 4 par appareil  ($)]]/Tableau4[[#This Row],[Surcoût par appareil ($)]]</f>
        <v>0.54587727870067737</v>
      </c>
    </row>
    <row r="160" spans="2:32" x14ac:dyDescent="0.3">
      <c r="B160" s="196" t="s">
        <v>306</v>
      </c>
      <c r="C160" s="189" t="s">
        <v>317</v>
      </c>
      <c r="D160" s="189">
        <v>4</v>
      </c>
      <c r="E160" s="189">
        <v>300000</v>
      </c>
      <c r="F160" s="197">
        <f>Tableau4[[#This Row],[Economies totales (m3)]]/Tableau4[[#This Row],[Nombres appareils installés]]</f>
        <v>1515</v>
      </c>
      <c r="G160" s="191">
        <v>6060</v>
      </c>
      <c r="H160" s="189">
        <f t="shared" si="4"/>
        <v>4203.3999999999996</v>
      </c>
      <c r="I160" s="189">
        <v>2400</v>
      </c>
      <c r="J160" s="189">
        <f>Tableau4[[#This Row],[Surcoût moyens de l''équipement ($)]]+Tableau4[[#This Row],[Surcoût moyen de l''installation ($)]]</f>
        <v>6603.4</v>
      </c>
      <c r="K160" s="189">
        <f>Tableau4[[#This Row],[Surcoût par appareil ($)]]*Tableau4[[#This Row],[Nombres appareils installés]]</f>
        <v>26413.599999999999</v>
      </c>
      <c r="L160" s="191">
        <v>9600</v>
      </c>
      <c r="M160" s="189">
        <f t="shared" si="5"/>
        <v>9600</v>
      </c>
      <c r="N160" s="189">
        <f>Tableau4[[#This Row],[AF 0 ($)]]/Tableau4[[#This Row],[Nombres appareils installés]]</f>
        <v>2400</v>
      </c>
      <c r="O160" s="192">
        <f>(Tableau4[[#This Row],[AF accordée ($)]])/($J$6*D160)</f>
        <v>0.59949043313183792</v>
      </c>
      <c r="P160" s="192">
        <f>Tableau4[[#This Row],[Couverture 0 (%)]]*Tableau4[[#This Row],[Nombres appareils installés]]</f>
        <v>2.3979617325273517</v>
      </c>
      <c r="Q160" s="189">
        <f>($Q$4+$R$4*(Tableau4[[#This Row],[Capacité (BTU)]]/1000))*Tableau4[[#This Row],[Nombres appareils installés]]</f>
        <v>14000</v>
      </c>
      <c r="R160" s="189">
        <f>Tableau4[[#This Row],[AF 1 ($)]]/Tableau4[[#This Row],[Nombres appareils installés]]</f>
        <v>3500</v>
      </c>
      <c r="S160" s="192">
        <f>Tableau4[[#This Row],[AF 1 ($)]]/(J160*D160)</f>
        <v>0.53002998455341188</v>
      </c>
      <c r="T160" s="192">
        <f>Tableau4[[#This Row],[Couverture 1 (%)]]*Tableau4[[#This Row],[Nombres appareils installés]]</f>
        <v>2.1201199382136475</v>
      </c>
      <c r="U160" s="189">
        <f>($U$4+($V$4*(Tableau4[[#This Row],[Capacité (BTU)]]/1000)))*Tableau4[[#This Row],[Nombres appareils installés]]</f>
        <v>17000</v>
      </c>
      <c r="V160" s="189">
        <f>Tableau4[[#This Row],[AF 2 ($)]]/Tableau4[[#This Row],[Nombres appareils installés]]</f>
        <v>4250</v>
      </c>
      <c r="W160" s="193">
        <f>Tableau4[[#This Row],[AF 2 par appareil ($)]]/Tableau4[[#This Row],[Surcoût par appareil ($)]]</f>
        <v>0.64360783838628588</v>
      </c>
      <c r="X160" s="193">
        <f>Tableau4[[#This Row],[Couverture 2 (%)]]*Tableau4[[#This Row],[Nombres appareils installés]]</f>
        <v>2.5744313535451435</v>
      </c>
      <c r="Y160" s="189">
        <f>($Y$4+$Z$4*(Tableau4[[#This Row],[Capacité (BTU)]]/1000))*Tableau4[[#This Row],[Nombres appareils installés]]</f>
        <v>16000</v>
      </c>
      <c r="Z160" s="189">
        <f>Tableau4[[#This Row],[AF 3 ($)]]/Tableau4[[#This Row],[Nombres appareils installés]]</f>
        <v>4000</v>
      </c>
      <c r="AA160" s="194">
        <f>Tableau4[[#This Row],[AF 3 par appareil ($)]]/Tableau4[[#This Row],[Surcoût par appareil ($)]]</f>
        <v>0.60574855377532788</v>
      </c>
      <c r="AB160" s="194">
        <f>Tableau4[[#This Row],[Couverture 3 (%)]]*Tableau4[[#This Row],[Nombres appareils installés]]</f>
        <v>2.4229942151013115</v>
      </c>
      <c r="AC160" s="189">
        <f>($AC$4+$AD$4*(Tableau4[[#This Row],[Capacité (BTU)]]/1000))*Tableau4[[#This Row],[Nombres appareils installés]]</f>
        <v>13600</v>
      </c>
      <c r="AD160" s="189">
        <f>Tableau4[[#This Row],[AF 4 ($)]]/Tableau4[[#This Row],[Nombres appareils installés]]</f>
        <v>3400</v>
      </c>
      <c r="AE160" s="195">
        <f>Tableau4[[#This Row],[Couverture 4 (%)]]*Tableau4[[#This Row],[Nombres appareils installés]]</f>
        <v>2.0595450828361148</v>
      </c>
      <c r="AF160" s="194">
        <f>Tableau4[[#This Row],[AF 4 par appareil  ($)]]/Tableau4[[#This Row],[Surcoût par appareil ($)]]</f>
        <v>0.5148862707090287</v>
      </c>
    </row>
    <row r="161" spans="2:32" x14ac:dyDescent="0.3">
      <c r="B161" s="196" t="s">
        <v>306</v>
      </c>
      <c r="C161" s="189" t="s">
        <v>310</v>
      </c>
      <c r="D161" s="189">
        <v>1</v>
      </c>
      <c r="E161" s="189">
        <v>305000</v>
      </c>
      <c r="F161" s="197">
        <f>Tableau4[[#This Row],[Economies totales (m3)]]/Tableau4[[#This Row],[Nombres appareils installés]]</f>
        <v>1540.25</v>
      </c>
      <c r="G161" s="191">
        <v>1540.25</v>
      </c>
      <c r="H161" s="189">
        <f t="shared" si="4"/>
        <v>4293.6499999999996</v>
      </c>
      <c r="I161" s="189">
        <v>2400</v>
      </c>
      <c r="J161" s="189">
        <f>Tableau4[[#This Row],[Surcoût moyens de l''équipement ($)]]+Tableau4[[#This Row],[Surcoût moyen de l''installation ($)]]</f>
        <v>6693.65</v>
      </c>
      <c r="K161" s="189">
        <f>Tableau4[[#This Row],[Surcoût par appareil ($)]]*Tableau4[[#This Row],[Nombres appareils installés]]</f>
        <v>6693.65</v>
      </c>
      <c r="L161" s="191">
        <v>2425</v>
      </c>
      <c r="M161" s="189">
        <f t="shared" si="5"/>
        <v>2425</v>
      </c>
      <c r="N161" s="189">
        <f>Tableau4[[#This Row],[AF 0 ($)]]/Tableau4[[#This Row],[Nombres appareils installés]]</f>
        <v>2425</v>
      </c>
      <c r="O161" s="192">
        <f>(Tableau4[[#This Row],[AF accordée ($)]])/($J$6*D161)</f>
        <v>0.60573512514362793</v>
      </c>
      <c r="P161" s="192">
        <f>Tableau4[[#This Row],[Couverture 0 (%)]]*Tableau4[[#This Row],[Nombres appareils installés]]</f>
        <v>0.60573512514362793</v>
      </c>
      <c r="Q161" s="189">
        <f>($Q$4+$R$4*(Tableau4[[#This Row],[Capacité (BTU)]]/1000))*Tableau4[[#This Row],[Nombres appareils installés]]</f>
        <v>3525</v>
      </c>
      <c r="R161" s="189">
        <f>Tableau4[[#This Row],[AF 1 ($)]]/Tableau4[[#This Row],[Nombres appareils installés]]</f>
        <v>3525</v>
      </c>
      <c r="S161" s="192">
        <f>Tableau4[[#This Row],[AF 1 ($)]]/(J161*D161)</f>
        <v>0.52661851157440265</v>
      </c>
      <c r="T161" s="192">
        <f>Tableau4[[#This Row],[Couverture 1 (%)]]*Tableau4[[#This Row],[Nombres appareils installés]]</f>
        <v>0.52661851157440265</v>
      </c>
      <c r="U161" s="189">
        <f>($U$4+($V$4*(Tableau4[[#This Row],[Capacité (BTU)]]/1000)))*Tableau4[[#This Row],[Nombres appareils installés]]</f>
        <v>4287.5</v>
      </c>
      <c r="V161" s="189">
        <f>Tableau4[[#This Row],[AF 2 ($)]]/Tableau4[[#This Row],[Nombres appareils installés]]</f>
        <v>4287.5</v>
      </c>
      <c r="W161" s="193">
        <f>Tableau4[[#This Row],[AF 2 par appareil ($)]]/Tableau4[[#This Row],[Surcoût par appareil ($)]]</f>
        <v>0.64053244492914929</v>
      </c>
      <c r="X161" s="193">
        <f>Tableau4[[#This Row],[Couverture 2 (%)]]*Tableau4[[#This Row],[Nombres appareils installés]]</f>
        <v>0.64053244492914929</v>
      </c>
      <c r="Y161" s="189">
        <f>($Y$4+$Z$4*(Tableau4[[#This Row],[Capacité (BTU)]]/1000))*Tableau4[[#This Row],[Nombres appareils installés]]</f>
        <v>4025</v>
      </c>
      <c r="Z161" s="189">
        <f>Tableau4[[#This Row],[AF 3 ($)]]/Tableau4[[#This Row],[Nombres appareils installés]]</f>
        <v>4025</v>
      </c>
      <c r="AA161" s="194">
        <f>Tableau4[[#This Row],[AF 3 par appareil ($)]]/Tableau4[[#This Row],[Surcoût par appareil ($)]]</f>
        <v>0.60131617279062999</v>
      </c>
      <c r="AB161" s="194">
        <f>Tableau4[[#This Row],[Couverture 3 (%)]]*Tableau4[[#This Row],[Nombres appareils installés]]</f>
        <v>0.60131617279062999</v>
      </c>
      <c r="AC161" s="189">
        <f>($AC$4+$AD$4*(Tableau4[[#This Row],[Capacité (BTU)]]/1000))*Tableau4[[#This Row],[Nombres appareils installés]]</f>
        <v>3420</v>
      </c>
      <c r="AD161" s="189">
        <f>Tableau4[[#This Row],[AF 4 ($)]]/Tableau4[[#This Row],[Nombres appareils installés]]</f>
        <v>3420</v>
      </c>
      <c r="AE161" s="195">
        <f>Tableau4[[#This Row],[Couverture 4 (%)]]*Tableau4[[#This Row],[Nombres appareils installés]]</f>
        <v>0.51093200271899486</v>
      </c>
      <c r="AF161" s="194">
        <f>Tableau4[[#This Row],[AF 4 par appareil  ($)]]/Tableau4[[#This Row],[Surcoût par appareil ($)]]</f>
        <v>0.51093200271899486</v>
      </c>
    </row>
    <row r="162" spans="2:32" x14ac:dyDescent="0.3">
      <c r="B162" s="196" t="s">
        <v>306</v>
      </c>
      <c r="C162" s="189" t="s">
        <v>311</v>
      </c>
      <c r="D162" s="189">
        <v>4</v>
      </c>
      <c r="E162" s="189">
        <v>305000</v>
      </c>
      <c r="F162" s="197">
        <f>Tableau4[[#This Row],[Economies totales (m3)]]/Tableau4[[#This Row],[Nombres appareils installés]]</f>
        <v>1540.25</v>
      </c>
      <c r="G162" s="191">
        <v>6161</v>
      </c>
      <c r="H162" s="189">
        <f t="shared" si="4"/>
        <v>4293.6499999999996</v>
      </c>
      <c r="I162" s="189">
        <v>2400</v>
      </c>
      <c r="J162" s="189">
        <f>Tableau4[[#This Row],[Surcoût moyens de l''équipement ($)]]+Tableau4[[#This Row],[Surcoût moyen de l''installation ($)]]</f>
        <v>6693.65</v>
      </c>
      <c r="K162" s="189">
        <f>Tableau4[[#This Row],[Surcoût par appareil ($)]]*Tableau4[[#This Row],[Nombres appareils installés]]</f>
        <v>26774.6</v>
      </c>
      <c r="L162" s="191">
        <v>9700</v>
      </c>
      <c r="M162" s="189">
        <f t="shared" si="5"/>
        <v>9700</v>
      </c>
      <c r="N162" s="189">
        <f>Tableau4[[#This Row],[AF 0 ($)]]/Tableau4[[#This Row],[Nombres appareils installés]]</f>
        <v>2425</v>
      </c>
      <c r="O162" s="192">
        <f>(Tableau4[[#This Row],[AF accordée ($)]])/($J$6*D162)</f>
        <v>0.60573512514362793</v>
      </c>
      <c r="P162" s="192">
        <f>Tableau4[[#This Row],[Couverture 0 (%)]]*Tableau4[[#This Row],[Nombres appareils installés]]</f>
        <v>2.4229405005745117</v>
      </c>
      <c r="Q162" s="189">
        <f>($Q$4+$R$4*(Tableau4[[#This Row],[Capacité (BTU)]]/1000))*Tableau4[[#This Row],[Nombres appareils installés]]</f>
        <v>14100</v>
      </c>
      <c r="R162" s="189">
        <f>Tableau4[[#This Row],[AF 1 ($)]]/Tableau4[[#This Row],[Nombres appareils installés]]</f>
        <v>3525</v>
      </c>
      <c r="S162" s="192">
        <f>Tableau4[[#This Row],[AF 1 ($)]]/(J162*D162)</f>
        <v>0.52661851157440265</v>
      </c>
      <c r="T162" s="192">
        <f>Tableau4[[#This Row],[Couverture 1 (%)]]*Tableau4[[#This Row],[Nombres appareils installés]]</f>
        <v>2.1064740462976106</v>
      </c>
      <c r="U162" s="189">
        <f>($U$4+($V$4*(Tableau4[[#This Row],[Capacité (BTU)]]/1000)))*Tableau4[[#This Row],[Nombres appareils installés]]</f>
        <v>17150</v>
      </c>
      <c r="V162" s="189">
        <f>Tableau4[[#This Row],[AF 2 ($)]]/Tableau4[[#This Row],[Nombres appareils installés]]</f>
        <v>4287.5</v>
      </c>
      <c r="W162" s="193">
        <f>Tableau4[[#This Row],[AF 2 par appareil ($)]]/Tableau4[[#This Row],[Surcoût par appareil ($)]]</f>
        <v>0.64053244492914929</v>
      </c>
      <c r="X162" s="193">
        <f>Tableau4[[#This Row],[Couverture 2 (%)]]*Tableau4[[#This Row],[Nombres appareils installés]]</f>
        <v>2.5621297797165972</v>
      </c>
      <c r="Y162" s="189">
        <f>($Y$4+$Z$4*(Tableau4[[#This Row],[Capacité (BTU)]]/1000))*Tableau4[[#This Row],[Nombres appareils installés]]</f>
        <v>16100</v>
      </c>
      <c r="Z162" s="189">
        <f>Tableau4[[#This Row],[AF 3 ($)]]/Tableau4[[#This Row],[Nombres appareils installés]]</f>
        <v>4025</v>
      </c>
      <c r="AA162" s="194">
        <f>Tableau4[[#This Row],[AF 3 par appareil ($)]]/Tableau4[[#This Row],[Surcoût par appareil ($)]]</f>
        <v>0.60131617279062999</v>
      </c>
      <c r="AB162" s="194">
        <f>Tableau4[[#This Row],[Couverture 3 (%)]]*Tableau4[[#This Row],[Nombres appareils installés]]</f>
        <v>2.40526469116252</v>
      </c>
      <c r="AC162" s="189">
        <f>($AC$4+$AD$4*(Tableau4[[#This Row],[Capacité (BTU)]]/1000))*Tableau4[[#This Row],[Nombres appareils installés]]</f>
        <v>13680</v>
      </c>
      <c r="AD162" s="189">
        <f>Tableau4[[#This Row],[AF 4 ($)]]/Tableau4[[#This Row],[Nombres appareils installés]]</f>
        <v>3420</v>
      </c>
      <c r="AE162" s="195">
        <f>Tableau4[[#This Row],[Couverture 4 (%)]]*Tableau4[[#This Row],[Nombres appareils installés]]</f>
        <v>2.0437280108759794</v>
      </c>
      <c r="AF162" s="194">
        <f>Tableau4[[#This Row],[AF 4 par appareil  ($)]]/Tableau4[[#This Row],[Surcoût par appareil ($)]]</f>
        <v>0.51093200271899486</v>
      </c>
    </row>
    <row r="163" spans="2:32" x14ac:dyDescent="0.3">
      <c r="B163" s="196" t="s">
        <v>306</v>
      </c>
      <c r="C163" s="189" t="s">
        <v>314</v>
      </c>
      <c r="D163" s="189">
        <v>1</v>
      </c>
      <c r="E163" s="189">
        <v>310000</v>
      </c>
      <c r="F163" s="197">
        <f>Tableau4[[#This Row],[Economies totales (m3)]]/Tableau4[[#This Row],[Nombres appareils installés]]</f>
        <v>1565.5</v>
      </c>
      <c r="G163" s="191">
        <v>1565.5</v>
      </c>
      <c r="H163" s="189">
        <f t="shared" si="4"/>
        <v>4385.3999999999996</v>
      </c>
      <c r="I163" s="189">
        <v>2400</v>
      </c>
      <c r="J163" s="189">
        <f>Tableau4[[#This Row],[Surcoût moyens de l''équipement ($)]]+Tableau4[[#This Row],[Surcoût moyen de l''installation ($)]]</f>
        <v>6785.4</v>
      </c>
      <c r="K163" s="189">
        <f>Tableau4[[#This Row],[Surcoût par appareil ($)]]*Tableau4[[#This Row],[Nombres appareils installés]]</f>
        <v>6785.4</v>
      </c>
      <c r="L163" s="191">
        <v>2450</v>
      </c>
      <c r="M163" s="189">
        <f t="shared" si="5"/>
        <v>2450</v>
      </c>
      <c r="N163" s="189">
        <f>Tableau4[[#This Row],[AF 0 ($)]]/Tableau4[[#This Row],[Nombres appareils installés]]</f>
        <v>2450</v>
      </c>
      <c r="O163" s="192">
        <f>(Tableau4[[#This Row],[AF accordée ($)]])/($J$6*D163)</f>
        <v>0.61197981715541783</v>
      </c>
      <c r="P163" s="192">
        <f>Tableau4[[#This Row],[Couverture 0 (%)]]*Tableau4[[#This Row],[Nombres appareils installés]]</f>
        <v>0.61197981715541783</v>
      </c>
      <c r="Q163" s="189">
        <f>($Q$4+$R$4*(Tableau4[[#This Row],[Capacité (BTU)]]/1000))*Tableau4[[#This Row],[Nombres appareils installés]]</f>
        <v>3550</v>
      </c>
      <c r="R163" s="189">
        <f>Tableau4[[#This Row],[AF 1 ($)]]/Tableau4[[#This Row],[Nombres appareils installés]]</f>
        <v>3550</v>
      </c>
      <c r="S163" s="192">
        <f>Tableau4[[#This Row],[AF 1 ($)]]/(J163*D163)</f>
        <v>0.52318212633006167</v>
      </c>
      <c r="T163" s="192">
        <f>Tableau4[[#This Row],[Couverture 1 (%)]]*Tableau4[[#This Row],[Nombres appareils installés]]</f>
        <v>0.52318212633006167</v>
      </c>
      <c r="U163" s="189">
        <f>($U$4+($V$4*(Tableau4[[#This Row],[Capacité (BTU)]]/1000)))*Tableau4[[#This Row],[Nombres appareils installés]]</f>
        <v>4325</v>
      </c>
      <c r="V163" s="189">
        <f>Tableau4[[#This Row],[AF 2 ($)]]/Tableau4[[#This Row],[Nombres appareils installés]]</f>
        <v>4325</v>
      </c>
      <c r="W163" s="193">
        <f>Tableau4[[#This Row],[AF 2 par appareil ($)]]/Tableau4[[#This Row],[Surcoût par appareil ($)]]</f>
        <v>0.63739794264155392</v>
      </c>
      <c r="X163" s="193">
        <f>Tableau4[[#This Row],[Couverture 2 (%)]]*Tableau4[[#This Row],[Nombres appareils installés]]</f>
        <v>0.63739794264155392</v>
      </c>
      <c r="Y163" s="189">
        <f>($Y$4+$Z$4*(Tableau4[[#This Row],[Capacité (BTU)]]/1000))*Tableau4[[#This Row],[Nombres appareils installés]]</f>
        <v>4050</v>
      </c>
      <c r="Z163" s="189">
        <f>Tableau4[[#This Row],[AF 3 ($)]]/Tableau4[[#This Row],[Nombres appareils installés]]</f>
        <v>4050</v>
      </c>
      <c r="AA163" s="194">
        <f>Tableau4[[#This Row],[AF 3 par appareil ($)]]/Tableau4[[#This Row],[Surcoût par appareil ($)]]</f>
        <v>0.59686974975683083</v>
      </c>
      <c r="AB163" s="194">
        <f>Tableau4[[#This Row],[Couverture 3 (%)]]*Tableau4[[#This Row],[Nombres appareils installés]]</f>
        <v>0.59686974975683083</v>
      </c>
      <c r="AC163" s="189">
        <f>($AC$4+$AD$4*(Tableau4[[#This Row],[Capacité (BTU)]]/1000))*Tableau4[[#This Row],[Nombres appareils installés]]</f>
        <v>3440</v>
      </c>
      <c r="AD163" s="189">
        <f>Tableau4[[#This Row],[AF 4 ($)]]/Tableau4[[#This Row],[Nombres appareils installés]]</f>
        <v>3440</v>
      </c>
      <c r="AE163" s="195">
        <f>Tableau4[[#This Row],[Couverture 4 (%)]]*Tableau4[[#This Row],[Nombres appareils installés]]</f>
        <v>0.50697084917617241</v>
      </c>
      <c r="AF163" s="194">
        <f>Tableau4[[#This Row],[AF 4 par appareil  ($)]]/Tableau4[[#This Row],[Surcoût par appareil ($)]]</f>
        <v>0.50697084917617241</v>
      </c>
    </row>
    <row r="164" spans="2:32" x14ac:dyDescent="0.3">
      <c r="B164" s="196" t="s">
        <v>306</v>
      </c>
      <c r="C164" s="189" t="s">
        <v>216</v>
      </c>
      <c r="D164" s="189">
        <v>2</v>
      </c>
      <c r="E164" s="189">
        <v>310000</v>
      </c>
      <c r="F164" s="197">
        <f>Tableau4[[#This Row],[Economies totales (m3)]]/Tableau4[[#This Row],[Nombres appareils installés]]</f>
        <v>1565.5</v>
      </c>
      <c r="G164" s="191">
        <v>3131</v>
      </c>
      <c r="H164" s="189">
        <f t="shared" si="4"/>
        <v>4385.3999999999996</v>
      </c>
      <c r="I164" s="189">
        <v>2400</v>
      </c>
      <c r="J164" s="189">
        <f>Tableau4[[#This Row],[Surcoût moyens de l''équipement ($)]]+Tableau4[[#This Row],[Surcoût moyen de l''installation ($)]]</f>
        <v>6785.4</v>
      </c>
      <c r="K164" s="189">
        <f>Tableau4[[#This Row],[Surcoût par appareil ($)]]*Tableau4[[#This Row],[Nombres appareils installés]]</f>
        <v>13570.8</v>
      </c>
      <c r="L164" s="191">
        <v>3400</v>
      </c>
      <c r="M164" s="189">
        <f t="shared" si="5"/>
        <v>4900</v>
      </c>
      <c r="N164" s="189">
        <f>Tableau4[[#This Row],[AF 0 ($)]]/Tableau4[[#This Row],[Nombres appareils installés]]</f>
        <v>2450</v>
      </c>
      <c r="O164" s="192">
        <f>(Tableau4[[#This Row],[AF accordée ($)]])/($J$6*D164)</f>
        <v>0.42463905680171854</v>
      </c>
      <c r="P164" s="192">
        <f>Tableau4[[#This Row],[Couverture 0 (%)]]*Tableau4[[#This Row],[Nombres appareils installés]]</f>
        <v>0.84927811360343708</v>
      </c>
      <c r="Q164" s="189">
        <f>($Q$4+$R$4*(Tableau4[[#This Row],[Capacité (BTU)]]/1000))*Tableau4[[#This Row],[Nombres appareils installés]]</f>
        <v>7100</v>
      </c>
      <c r="R164" s="189">
        <f>Tableau4[[#This Row],[AF 1 ($)]]/Tableau4[[#This Row],[Nombres appareils installés]]</f>
        <v>3550</v>
      </c>
      <c r="S164" s="192">
        <f>Tableau4[[#This Row],[AF 1 ($)]]/(J164*D164)</f>
        <v>0.52318212633006167</v>
      </c>
      <c r="T164" s="192">
        <f>Tableau4[[#This Row],[Couverture 1 (%)]]*Tableau4[[#This Row],[Nombres appareils installés]]</f>
        <v>1.0463642526601233</v>
      </c>
      <c r="U164" s="189">
        <f>($U$4+($V$4*(Tableau4[[#This Row],[Capacité (BTU)]]/1000)))*Tableau4[[#This Row],[Nombres appareils installés]]</f>
        <v>8650</v>
      </c>
      <c r="V164" s="189">
        <f>Tableau4[[#This Row],[AF 2 ($)]]/Tableau4[[#This Row],[Nombres appareils installés]]</f>
        <v>4325</v>
      </c>
      <c r="W164" s="193">
        <f>Tableau4[[#This Row],[AF 2 par appareil ($)]]/Tableau4[[#This Row],[Surcoût par appareil ($)]]</f>
        <v>0.63739794264155392</v>
      </c>
      <c r="X164" s="193">
        <f>Tableau4[[#This Row],[Couverture 2 (%)]]*Tableau4[[#This Row],[Nombres appareils installés]]</f>
        <v>1.2747958852831078</v>
      </c>
      <c r="Y164" s="189">
        <f>($Y$4+$Z$4*(Tableau4[[#This Row],[Capacité (BTU)]]/1000))*Tableau4[[#This Row],[Nombres appareils installés]]</f>
        <v>8100</v>
      </c>
      <c r="Z164" s="189">
        <f>Tableau4[[#This Row],[AF 3 ($)]]/Tableau4[[#This Row],[Nombres appareils installés]]</f>
        <v>4050</v>
      </c>
      <c r="AA164" s="194">
        <f>Tableau4[[#This Row],[AF 3 par appareil ($)]]/Tableau4[[#This Row],[Surcoût par appareil ($)]]</f>
        <v>0.59686974975683083</v>
      </c>
      <c r="AB164" s="194">
        <f>Tableau4[[#This Row],[Couverture 3 (%)]]*Tableau4[[#This Row],[Nombres appareils installés]]</f>
        <v>1.1937394995136617</v>
      </c>
      <c r="AC164" s="189">
        <f>($AC$4+$AD$4*(Tableau4[[#This Row],[Capacité (BTU)]]/1000))*Tableau4[[#This Row],[Nombres appareils installés]]</f>
        <v>6880</v>
      </c>
      <c r="AD164" s="189">
        <f>Tableau4[[#This Row],[AF 4 ($)]]/Tableau4[[#This Row],[Nombres appareils installés]]</f>
        <v>3440</v>
      </c>
      <c r="AE164" s="195">
        <f>Tableau4[[#This Row],[Couverture 4 (%)]]*Tableau4[[#This Row],[Nombres appareils installés]]</f>
        <v>1.0139416983523448</v>
      </c>
      <c r="AF164" s="194">
        <f>Tableau4[[#This Row],[AF 4 par appareil  ($)]]/Tableau4[[#This Row],[Surcoût par appareil ($)]]</f>
        <v>0.50697084917617241</v>
      </c>
    </row>
    <row r="165" spans="2:32" x14ac:dyDescent="0.3">
      <c r="B165" s="196" t="s">
        <v>306</v>
      </c>
      <c r="C165" s="189" t="s">
        <v>318</v>
      </c>
      <c r="D165" s="189">
        <v>12</v>
      </c>
      <c r="E165" s="189">
        <v>310000</v>
      </c>
      <c r="F165" s="197">
        <f>Tableau4[[#This Row],[Economies totales (m3)]]/Tableau4[[#This Row],[Nombres appareils installés]]</f>
        <v>1565.5</v>
      </c>
      <c r="G165" s="191">
        <v>18786</v>
      </c>
      <c r="H165" s="189">
        <f t="shared" si="4"/>
        <v>4385.3999999999996</v>
      </c>
      <c r="I165" s="189">
        <v>2400</v>
      </c>
      <c r="J165" s="189">
        <f>Tableau4[[#This Row],[Surcoût moyens de l''équipement ($)]]+Tableau4[[#This Row],[Surcoût moyen de l''installation ($)]]</f>
        <v>6785.4</v>
      </c>
      <c r="K165" s="189">
        <f>Tableau4[[#This Row],[Surcoût par appareil ($)]]*Tableau4[[#This Row],[Nombres appareils installés]]</f>
        <v>81424.799999999988</v>
      </c>
      <c r="L165" s="191">
        <v>29400</v>
      </c>
      <c r="M165" s="189">
        <f t="shared" si="5"/>
        <v>29400</v>
      </c>
      <c r="N165" s="189">
        <f>Tableau4[[#This Row],[AF 0 ($)]]/Tableau4[[#This Row],[Nombres appareils installés]]</f>
        <v>2450</v>
      </c>
      <c r="O165" s="192">
        <f>(Tableau4[[#This Row],[AF accordée ($)]])/($J$6*D165)</f>
        <v>0.61197981715541783</v>
      </c>
      <c r="P165" s="192">
        <f>Tableau4[[#This Row],[Couverture 0 (%)]]*Tableau4[[#This Row],[Nombres appareils installés]]</f>
        <v>7.3437578058650139</v>
      </c>
      <c r="Q165" s="189">
        <f>($Q$4+$R$4*(Tableau4[[#This Row],[Capacité (BTU)]]/1000))*Tableau4[[#This Row],[Nombres appareils installés]]</f>
        <v>42600</v>
      </c>
      <c r="R165" s="189">
        <f>Tableau4[[#This Row],[AF 1 ($)]]/Tableau4[[#This Row],[Nombres appareils installés]]</f>
        <v>3550</v>
      </c>
      <c r="S165" s="192">
        <f>Tableau4[[#This Row],[AF 1 ($)]]/(J165*D165)</f>
        <v>0.52318212633006167</v>
      </c>
      <c r="T165" s="192">
        <f>Tableau4[[#This Row],[Couverture 1 (%)]]*Tableau4[[#This Row],[Nombres appareils installés]]</f>
        <v>6.2781855159607396</v>
      </c>
      <c r="U165" s="189">
        <f>($U$4+($V$4*(Tableau4[[#This Row],[Capacité (BTU)]]/1000)))*Tableau4[[#This Row],[Nombres appareils installés]]</f>
        <v>51900</v>
      </c>
      <c r="V165" s="189">
        <f>Tableau4[[#This Row],[AF 2 ($)]]/Tableau4[[#This Row],[Nombres appareils installés]]</f>
        <v>4325</v>
      </c>
      <c r="W165" s="193">
        <f>Tableau4[[#This Row],[AF 2 par appareil ($)]]/Tableau4[[#This Row],[Surcoût par appareil ($)]]</f>
        <v>0.63739794264155392</v>
      </c>
      <c r="X165" s="193">
        <f>Tableau4[[#This Row],[Couverture 2 (%)]]*Tableau4[[#This Row],[Nombres appareils installés]]</f>
        <v>7.648775311698647</v>
      </c>
      <c r="Y165" s="189">
        <f>($Y$4+$Z$4*(Tableau4[[#This Row],[Capacité (BTU)]]/1000))*Tableau4[[#This Row],[Nombres appareils installés]]</f>
        <v>48600</v>
      </c>
      <c r="Z165" s="189">
        <f>Tableau4[[#This Row],[AF 3 ($)]]/Tableau4[[#This Row],[Nombres appareils installés]]</f>
        <v>4050</v>
      </c>
      <c r="AA165" s="194">
        <f>Tableau4[[#This Row],[AF 3 par appareil ($)]]/Tableau4[[#This Row],[Surcoût par appareil ($)]]</f>
        <v>0.59686974975683083</v>
      </c>
      <c r="AB165" s="194">
        <f>Tableau4[[#This Row],[Couverture 3 (%)]]*Tableau4[[#This Row],[Nombres appareils installés]]</f>
        <v>7.1624369970819703</v>
      </c>
      <c r="AC165" s="189">
        <f>($AC$4+$AD$4*(Tableau4[[#This Row],[Capacité (BTU)]]/1000))*Tableau4[[#This Row],[Nombres appareils installés]]</f>
        <v>41280</v>
      </c>
      <c r="AD165" s="189">
        <f>Tableau4[[#This Row],[AF 4 ($)]]/Tableau4[[#This Row],[Nombres appareils installés]]</f>
        <v>3440</v>
      </c>
      <c r="AE165" s="195">
        <f>Tableau4[[#This Row],[Couverture 4 (%)]]*Tableau4[[#This Row],[Nombres appareils installés]]</f>
        <v>6.0836501901140689</v>
      </c>
      <c r="AF165" s="194">
        <f>Tableau4[[#This Row],[AF 4 par appareil  ($)]]/Tableau4[[#This Row],[Surcoût par appareil ($)]]</f>
        <v>0.50697084917617241</v>
      </c>
    </row>
    <row r="166" spans="2:32" x14ac:dyDescent="0.3">
      <c r="B166" s="198" t="s">
        <v>319</v>
      </c>
      <c r="C166" s="189" t="s">
        <v>216</v>
      </c>
      <c r="D166" s="198">
        <v>2</v>
      </c>
      <c r="E166" s="198">
        <v>100000</v>
      </c>
      <c r="F166" s="199">
        <f>Tableau4[[#This Row],[Economies totales (m3)]]/Tableau4[[#This Row],[Nombres appareils installés]]</f>
        <v>505</v>
      </c>
      <c r="G166" s="198">
        <v>1010</v>
      </c>
      <c r="H166" s="189">
        <f t="shared" si="4"/>
        <v>1823.4</v>
      </c>
      <c r="I166" s="189">
        <v>2400</v>
      </c>
      <c r="J166" s="189">
        <f>Tableau4[[#This Row],[Surcoût moyens de l''équipement ($)]]+Tableau4[[#This Row],[Surcoût moyen de l''installation ($)]]</f>
        <v>4223.3999999999996</v>
      </c>
      <c r="K166" s="189">
        <f>Tableau4[[#This Row],[Surcoût par appareil ($)]]*Tableau4[[#This Row],[Nombres appareils installés]]</f>
        <v>8446.7999999999993</v>
      </c>
      <c r="L166" s="198">
        <v>3400</v>
      </c>
      <c r="M166" s="189">
        <f t="shared" si="5"/>
        <v>2800</v>
      </c>
      <c r="N166" s="189">
        <f>Tableau4[[#This Row],[AF 0 ($)]]/Tableau4[[#This Row],[Nombres appareils installés]]</f>
        <v>1400</v>
      </c>
      <c r="O166" s="192">
        <f>(Tableau4[[#This Row],[AF accordée ($)]])/($J$6*D166)</f>
        <v>0.42463905680171854</v>
      </c>
      <c r="P166" s="192">
        <f>Tableau4[[#This Row],[Couverture 0 (%)]]*Tableau4[[#This Row],[Nombres appareils installés]]</f>
        <v>0.84927811360343708</v>
      </c>
      <c r="Q166" s="189">
        <f>($Q$4+$R$4*(Tableau4[[#This Row],[Capacité (BTU)]]/1000))*Tableau4[[#This Row],[Nombres appareils installés]]</f>
        <v>5000</v>
      </c>
      <c r="R166" s="189">
        <f>Tableau4[[#This Row],[AF 1 ($)]]/Tableau4[[#This Row],[Nombres appareils installés]]</f>
        <v>2500</v>
      </c>
      <c r="S166" s="192">
        <f>Tableau4[[#This Row],[AF 1 ($)]]/(J166*D166)</f>
        <v>0.59194014301273856</v>
      </c>
      <c r="T166" s="192">
        <f>Tableau4[[#This Row],[Couverture 1 (%)]]*Tableau4[[#This Row],[Nombres appareils installés]]</f>
        <v>1.1838802860254771</v>
      </c>
      <c r="U166" s="189">
        <f>($U$4+($V$4*(Tableau4[[#This Row],[Capacité (BTU)]]/1000)))*Tableau4[[#This Row],[Nombres appareils installés]]</f>
        <v>5500</v>
      </c>
      <c r="V166" s="189">
        <f>Tableau4[[#This Row],[AF 2 ($)]]/Tableau4[[#This Row],[Nombres appareils installés]]</f>
        <v>2750</v>
      </c>
      <c r="W166" s="193">
        <f>Tableau4[[#This Row],[AF 2 par appareil ($)]]/Tableau4[[#This Row],[Surcoût par appareil ($)]]</f>
        <v>0.65113415731401247</v>
      </c>
      <c r="X166" s="193">
        <f>Tableau4[[#This Row],[Couverture 2 (%)]]*Tableau4[[#This Row],[Nombres appareils installés]]</f>
        <v>1.3022683146280249</v>
      </c>
      <c r="Y166" s="189">
        <f>($Y$4+$Z$4*(Tableau4[[#This Row],[Capacité (BTU)]]/1000))*Tableau4[[#This Row],[Nombres appareils installés]]</f>
        <v>6000</v>
      </c>
      <c r="Z166" s="189">
        <f>Tableau4[[#This Row],[AF 3 ($)]]/Tableau4[[#This Row],[Nombres appareils installés]]</f>
        <v>3000</v>
      </c>
      <c r="AA166" s="194">
        <f>Tableau4[[#This Row],[AF 3 par appareil ($)]]/Tableau4[[#This Row],[Surcoût par appareil ($)]]</f>
        <v>0.71032817161528627</v>
      </c>
      <c r="AB166" s="194">
        <f>Tableau4[[#This Row],[Couverture 3 (%)]]*Tableau4[[#This Row],[Nombres appareils installés]]</f>
        <v>1.4206563432305725</v>
      </c>
      <c r="AC166" s="189">
        <f>($AC$4+$AD$4*(Tableau4[[#This Row],[Capacité (BTU)]]/1000))*Tableau4[[#This Row],[Nombres appareils installés]]</f>
        <v>5200</v>
      </c>
      <c r="AD166" s="189">
        <f>Tableau4[[#This Row],[AF 4 ($)]]/Tableau4[[#This Row],[Nombres appareils installés]]</f>
        <v>2600</v>
      </c>
      <c r="AE166" s="195">
        <f>Tableau4[[#This Row],[Couverture 4 (%)]]*Tableau4[[#This Row],[Nombres appareils installés]]</f>
        <v>1.2312354974664963</v>
      </c>
      <c r="AF166" s="194">
        <f>Tableau4[[#This Row],[AF 4 par appareil  ($)]]/Tableau4[[#This Row],[Surcoût par appareil ($)]]</f>
        <v>0.61561774873324815</v>
      </c>
    </row>
    <row r="167" spans="2:32" x14ac:dyDescent="0.3">
      <c r="B167" s="198" t="s">
        <v>319</v>
      </c>
      <c r="C167" s="189" t="s">
        <v>216</v>
      </c>
      <c r="D167" s="198">
        <v>1</v>
      </c>
      <c r="E167" s="198">
        <v>130000</v>
      </c>
      <c r="F167" s="199">
        <f>Tableau4[[#This Row],[Economies totales (m3)]]/Tableau4[[#This Row],[Nombres appareils installés]]</f>
        <v>656.5</v>
      </c>
      <c r="G167" s="198">
        <v>656.5</v>
      </c>
      <c r="H167" s="189">
        <f t="shared" si="4"/>
        <v>2027.4</v>
      </c>
      <c r="I167" s="189">
        <v>2400</v>
      </c>
      <c r="J167" s="189">
        <f>Tableau4[[#This Row],[Surcoût moyens de l''équipement ($)]]+Tableau4[[#This Row],[Surcoût moyen de l''installation ($)]]</f>
        <v>4427.3999999999996</v>
      </c>
      <c r="K167" s="189">
        <f>Tableau4[[#This Row],[Surcoût par appareil ($)]]*Tableau4[[#This Row],[Nombres appareils installés]]</f>
        <v>4427.3999999999996</v>
      </c>
      <c r="L167" s="198">
        <v>1550</v>
      </c>
      <c r="M167" s="189">
        <f t="shared" si="5"/>
        <v>1550</v>
      </c>
      <c r="N167" s="189">
        <f>Tableau4[[#This Row],[AF 0 ($)]]/Tableau4[[#This Row],[Nombres appareils installés]]</f>
        <v>1550</v>
      </c>
      <c r="O167" s="192">
        <f>(Tableau4[[#This Row],[AF accordée ($)]])/($J$6*D167)</f>
        <v>0.38717090473097865</v>
      </c>
      <c r="P167" s="192">
        <f>Tableau4[[#This Row],[Couverture 0 (%)]]*Tableau4[[#This Row],[Nombres appareils installés]]</f>
        <v>0.38717090473097865</v>
      </c>
      <c r="Q167" s="189">
        <f>($Q$4+$R$4*(Tableau4[[#This Row],[Capacité (BTU)]]/1000))*Tableau4[[#This Row],[Nombres appareils installés]]</f>
        <v>2650</v>
      </c>
      <c r="R167" s="189">
        <f>Tableau4[[#This Row],[AF 1 ($)]]/Tableau4[[#This Row],[Nombres appareils installés]]</f>
        <v>2650</v>
      </c>
      <c r="S167" s="192">
        <f>Tableau4[[#This Row],[AF 1 ($)]]/(J167*D167)</f>
        <v>0.59854542169218961</v>
      </c>
      <c r="T167" s="192">
        <f>Tableau4[[#This Row],[Couverture 1 (%)]]*Tableau4[[#This Row],[Nombres appareils installés]]</f>
        <v>0.59854542169218961</v>
      </c>
      <c r="U167" s="189">
        <f>($U$4+($V$4*(Tableau4[[#This Row],[Capacité (BTU)]]/1000)))*Tableau4[[#This Row],[Nombres appareils installés]]</f>
        <v>2975</v>
      </c>
      <c r="V167" s="189">
        <f>Tableau4[[#This Row],[AF 2 ($)]]/Tableau4[[#This Row],[Nombres appareils installés]]</f>
        <v>2975</v>
      </c>
      <c r="W167" s="193">
        <f>Tableau4[[#This Row],[AF 2 par appareil ($)]]/Tableau4[[#This Row],[Surcoût par appareil ($)]]</f>
        <v>0.67195193567330724</v>
      </c>
      <c r="X167" s="193">
        <f>Tableau4[[#This Row],[Couverture 2 (%)]]*Tableau4[[#This Row],[Nombres appareils installés]]</f>
        <v>0.67195193567330724</v>
      </c>
      <c r="Y167" s="189">
        <f>($Y$4+$Z$4*(Tableau4[[#This Row],[Capacité (BTU)]]/1000))*Tableau4[[#This Row],[Nombres appareils installés]]</f>
        <v>3150</v>
      </c>
      <c r="Z167" s="189">
        <f>Tableau4[[#This Row],[AF 3 ($)]]/Tableau4[[#This Row],[Nombres appareils installés]]</f>
        <v>3150</v>
      </c>
      <c r="AA167" s="194">
        <f>Tableau4[[#This Row],[AF 3 par appareil ($)]]/Tableau4[[#This Row],[Surcoût par appareil ($)]]</f>
        <v>0.71147852012467816</v>
      </c>
      <c r="AB167" s="194">
        <f>Tableau4[[#This Row],[Couverture 3 (%)]]*Tableau4[[#This Row],[Nombres appareils installés]]</f>
        <v>0.71147852012467816</v>
      </c>
      <c r="AC167" s="189">
        <f>($AC$4+$AD$4*(Tableau4[[#This Row],[Capacité (BTU)]]/1000))*Tableau4[[#This Row],[Nombres appareils installés]]</f>
        <v>2720</v>
      </c>
      <c r="AD167" s="189">
        <f>Tableau4[[#This Row],[AF 4 ($)]]/Tableau4[[#This Row],[Nombres appareils installés]]</f>
        <v>2720</v>
      </c>
      <c r="AE167" s="195">
        <f>Tableau4[[#This Row],[Couverture 4 (%)]]*Tableau4[[#This Row],[Nombres appareils installés]]</f>
        <v>0.61435605547273797</v>
      </c>
      <c r="AF167" s="194">
        <f>Tableau4[[#This Row],[AF 4 par appareil  ($)]]/Tableau4[[#This Row],[Surcoût par appareil ($)]]</f>
        <v>0.61435605547273797</v>
      </c>
    </row>
    <row r="168" spans="2:32" x14ac:dyDescent="0.3">
      <c r="B168" s="198" t="s">
        <v>319</v>
      </c>
      <c r="C168" s="189" t="s">
        <v>216</v>
      </c>
      <c r="D168" s="198">
        <v>3</v>
      </c>
      <c r="E168" s="198">
        <v>135000</v>
      </c>
      <c r="F168" s="199">
        <f>Tableau4[[#This Row],[Economies totales (m3)]]/Tableau4[[#This Row],[Nombres appareils installés]]</f>
        <v>681.75</v>
      </c>
      <c r="G168" s="198">
        <v>2045.25</v>
      </c>
      <c r="H168" s="189">
        <f t="shared" si="4"/>
        <v>2066.65</v>
      </c>
      <c r="I168" s="189">
        <v>2400</v>
      </c>
      <c r="J168" s="189">
        <f>Tableau4[[#This Row],[Surcoût moyens de l''équipement ($)]]+Tableau4[[#This Row],[Surcoût moyen de l''installation ($)]]</f>
        <v>4466.6499999999996</v>
      </c>
      <c r="K168" s="189">
        <f>Tableau4[[#This Row],[Surcoût par appareil ($)]]*Tableau4[[#This Row],[Nombres appareils installés]]</f>
        <v>13399.949999999999</v>
      </c>
      <c r="L168" s="198">
        <v>4725</v>
      </c>
      <c r="M168" s="189">
        <f t="shared" si="5"/>
        <v>4725</v>
      </c>
      <c r="N168" s="189">
        <f>Tableau4[[#This Row],[AF 0 ($)]]/Tableau4[[#This Row],[Nombres appareils installés]]</f>
        <v>1575</v>
      </c>
      <c r="O168" s="192">
        <f>(Tableau4[[#This Row],[AF accordée ($)]])/($J$6*D168)</f>
        <v>0.3934155967427686</v>
      </c>
      <c r="P168" s="192">
        <f>Tableau4[[#This Row],[Couverture 0 (%)]]*Tableau4[[#This Row],[Nombres appareils installés]]</f>
        <v>1.1802467902283058</v>
      </c>
      <c r="Q168" s="189">
        <f>($Q$4+$R$4*(Tableau4[[#This Row],[Capacité (BTU)]]/1000))*Tableau4[[#This Row],[Nombres appareils installés]]</f>
        <v>8025</v>
      </c>
      <c r="R168" s="189">
        <f>Tableau4[[#This Row],[AF 1 ($)]]/Tableau4[[#This Row],[Nombres appareils installés]]</f>
        <v>2675</v>
      </c>
      <c r="S168" s="192">
        <f>Tableau4[[#This Row],[AF 1 ($)]]/(J168*D168)</f>
        <v>0.59888283165235701</v>
      </c>
      <c r="T168" s="192">
        <f>Tableau4[[#This Row],[Couverture 1 (%)]]*Tableau4[[#This Row],[Nombres appareils installés]]</f>
        <v>1.7966484949570711</v>
      </c>
      <c r="U168" s="189">
        <f>($U$4+($V$4*(Tableau4[[#This Row],[Capacité (BTU)]]/1000)))*Tableau4[[#This Row],[Nombres appareils installés]]</f>
        <v>9037.5</v>
      </c>
      <c r="V168" s="189">
        <f>Tableau4[[#This Row],[AF 2 ($)]]/Tableau4[[#This Row],[Nombres appareils installés]]</f>
        <v>3012.5</v>
      </c>
      <c r="W168" s="193">
        <f>Tableau4[[#This Row],[AF 2 par appareil ($)]]/Tableau4[[#This Row],[Surcoût par appareil ($)]]</f>
        <v>0.67444281508513093</v>
      </c>
      <c r="X168" s="193">
        <f>Tableau4[[#This Row],[Couverture 2 (%)]]*Tableau4[[#This Row],[Nombres appareils installés]]</f>
        <v>2.0233284452553928</v>
      </c>
      <c r="Y168" s="189">
        <f>($Y$4+$Z$4*(Tableau4[[#This Row],[Capacité (BTU)]]/1000))*Tableau4[[#This Row],[Nombres appareils installés]]</f>
        <v>9525</v>
      </c>
      <c r="Z168" s="189">
        <f>Tableau4[[#This Row],[AF 3 ($)]]/Tableau4[[#This Row],[Nombres appareils installés]]</f>
        <v>3175</v>
      </c>
      <c r="AA168" s="194">
        <f>Tableau4[[#This Row],[AF 3 par appareil ($)]]/Tableau4[[#This Row],[Surcoût par appareil ($)]]</f>
        <v>0.71082354784905921</v>
      </c>
      <c r="AB168" s="194">
        <f>Tableau4[[#This Row],[Couverture 3 (%)]]*Tableau4[[#This Row],[Nombres appareils installés]]</f>
        <v>2.1324706435471779</v>
      </c>
      <c r="AC168" s="189">
        <f>($AC$4+$AD$4*(Tableau4[[#This Row],[Capacité (BTU)]]/1000))*Tableau4[[#This Row],[Nombres appareils installés]]</f>
        <v>8220</v>
      </c>
      <c r="AD168" s="189">
        <f>Tableau4[[#This Row],[AF 4 ($)]]/Tableau4[[#This Row],[Nombres appareils installés]]</f>
        <v>2740</v>
      </c>
      <c r="AE168" s="195">
        <f>Tableau4[[#This Row],[Couverture 4 (%)]]*Tableau4[[#This Row],[Nombres appareils installés]]</f>
        <v>1.8403053742737847</v>
      </c>
      <c r="AF168" s="194">
        <f>Tableau4[[#This Row],[AF 4 par appareil  ($)]]/Tableau4[[#This Row],[Surcoût par appareil ($)]]</f>
        <v>0.61343512475792827</v>
      </c>
    </row>
    <row r="169" spans="2:32" x14ac:dyDescent="0.3">
      <c r="B169" s="189" t="s">
        <v>319</v>
      </c>
      <c r="C169" s="189" t="s">
        <v>216</v>
      </c>
      <c r="D169" s="189">
        <v>1</v>
      </c>
      <c r="E169" s="189">
        <v>175000</v>
      </c>
      <c r="F169" s="197">
        <f>Tableau4[[#This Row],[Economies totales (m3)]]/Tableau4[[#This Row],[Nombres appareils installés]]</f>
        <v>883.75</v>
      </c>
      <c r="G169" s="189">
        <v>883.75</v>
      </c>
      <c r="H169" s="189">
        <f t="shared" si="4"/>
        <v>2434.65</v>
      </c>
      <c r="I169" s="189">
        <v>2400</v>
      </c>
      <c r="J169" s="189">
        <f>Tableau4[[#This Row],[Surcoût moyens de l''équipement ($)]]+Tableau4[[#This Row],[Surcoût moyen de l''installation ($)]]</f>
        <v>4834.6499999999996</v>
      </c>
      <c r="K169" s="189">
        <f>Tableau4[[#This Row],[Surcoût par appareil ($)]]*Tableau4[[#This Row],[Nombres appareils installés]]</f>
        <v>4834.6499999999996</v>
      </c>
      <c r="L169" s="189">
        <v>1775</v>
      </c>
      <c r="M169" s="189">
        <f t="shared" si="5"/>
        <v>1775</v>
      </c>
      <c r="N169" s="189">
        <f>Tableau4[[#This Row],[AF 0 ($)]]/Tableau4[[#This Row],[Nombres appareils installés]]</f>
        <v>1775</v>
      </c>
      <c r="O169" s="192">
        <f>(Tableau4[[#This Row],[AF accordée ($)]])/($J$6*D169)</f>
        <v>0.44337313283708846</v>
      </c>
      <c r="P169" s="192">
        <f>Tableau4[[#This Row],[Couverture 0 (%)]]*Tableau4[[#This Row],[Nombres appareils installés]]</f>
        <v>0.44337313283708846</v>
      </c>
      <c r="Q169" s="189">
        <f>($Q$4+$R$4*(Tableau4[[#This Row],[Capacité (BTU)]]/1000))*Tableau4[[#This Row],[Nombres appareils installés]]</f>
        <v>2875</v>
      </c>
      <c r="R169" s="189">
        <f>Tableau4[[#This Row],[AF 1 ($)]]/Tableau4[[#This Row],[Nombres appareils installés]]</f>
        <v>2875</v>
      </c>
      <c r="S169" s="192">
        <f>Tableau4[[#This Row],[AF 1 ($)]]/(J169*D169)</f>
        <v>0.59466559109759765</v>
      </c>
      <c r="T169" s="192">
        <f>Tableau4[[#This Row],[Couverture 1 (%)]]*Tableau4[[#This Row],[Nombres appareils installés]]</f>
        <v>0.59466559109759765</v>
      </c>
      <c r="U169" s="189">
        <f>($U$4+($V$4*(Tableau4[[#This Row],[Capacité (BTU)]]/1000)))*Tableau4[[#This Row],[Nombres appareils installés]]</f>
        <v>3312.5</v>
      </c>
      <c r="V169" s="189">
        <f>Tableau4[[#This Row],[AF 2 ($)]]/Tableau4[[#This Row],[Nombres appareils installés]]</f>
        <v>3312.5</v>
      </c>
      <c r="W169" s="193">
        <f>Tableau4[[#This Row],[AF 2 par appareil ($)]]/Tableau4[[#This Row],[Surcoût par appareil ($)]]</f>
        <v>0.68515818104723203</v>
      </c>
      <c r="X169" s="193">
        <f>Tableau4[[#This Row],[Couverture 2 (%)]]*Tableau4[[#This Row],[Nombres appareils installés]]</f>
        <v>0.68515818104723203</v>
      </c>
      <c r="Y169" s="189">
        <f>($Y$4+$Z$4*(Tableau4[[#This Row],[Capacité (BTU)]]/1000))*Tableau4[[#This Row],[Nombres appareils installés]]</f>
        <v>3375</v>
      </c>
      <c r="Z169" s="189">
        <f>Tableau4[[#This Row],[AF 3 ($)]]/Tableau4[[#This Row],[Nombres appareils installés]]</f>
        <v>3375</v>
      </c>
      <c r="AA169" s="194">
        <f>Tableau4[[#This Row],[AF 3 par appareil ($)]]/Tableau4[[#This Row],[Surcoût par appareil ($)]]</f>
        <v>0.69808569389717978</v>
      </c>
      <c r="AB169" s="194">
        <f>Tableau4[[#This Row],[Couverture 3 (%)]]*Tableau4[[#This Row],[Nombres appareils installés]]</f>
        <v>0.69808569389717978</v>
      </c>
      <c r="AC169" s="189">
        <f>($AC$4+$AD$4*(Tableau4[[#This Row],[Capacité (BTU)]]/1000))*Tableau4[[#This Row],[Nombres appareils installés]]</f>
        <v>2900</v>
      </c>
      <c r="AD169" s="189">
        <f>Tableau4[[#This Row],[AF 4 ($)]]/Tableau4[[#This Row],[Nombres appareils installés]]</f>
        <v>2900</v>
      </c>
      <c r="AE169" s="195">
        <f>Tableau4[[#This Row],[Couverture 4 (%)]]*Tableau4[[#This Row],[Nombres appareils installés]]</f>
        <v>0.59983659623757668</v>
      </c>
      <c r="AF169" s="194">
        <f>Tableau4[[#This Row],[AF 4 par appareil  ($)]]/Tableau4[[#This Row],[Surcoût par appareil ($)]]</f>
        <v>0.59983659623757668</v>
      </c>
    </row>
    <row r="170" spans="2:32" x14ac:dyDescent="0.3">
      <c r="B170" s="198" t="s">
        <v>319</v>
      </c>
      <c r="C170" s="189" t="s">
        <v>216</v>
      </c>
      <c r="D170" s="198">
        <v>4</v>
      </c>
      <c r="E170" s="198">
        <v>175000</v>
      </c>
      <c r="F170" s="199">
        <f>Tableau4[[#This Row],[Economies totales (m3)]]/Tableau4[[#This Row],[Nombres appareils installés]]</f>
        <v>883.75</v>
      </c>
      <c r="G170" s="198">
        <v>3535</v>
      </c>
      <c r="H170" s="189">
        <f t="shared" si="4"/>
        <v>2434.65</v>
      </c>
      <c r="I170" s="189">
        <v>2400</v>
      </c>
      <c r="J170" s="189">
        <f>Tableau4[[#This Row],[Surcoût moyens de l''équipement ($)]]+Tableau4[[#This Row],[Surcoût moyen de l''installation ($)]]</f>
        <v>4834.6499999999996</v>
      </c>
      <c r="K170" s="189">
        <f>Tableau4[[#This Row],[Surcoût par appareil ($)]]*Tableau4[[#This Row],[Nombres appareils installés]]</f>
        <v>19338.599999999999</v>
      </c>
      <c r="L170" s="198">
        <v>7100</v>
      </c>
      <c r="M170" s="189">
        <f t="shared" si="5"/>
        <v>7100</v>
      </c>
      <c r="N170" s="189">
        <f>Tableau4[[#This Row],[AF 0 ($)]]/Tableau4[[#This Row],[Nombres appareils installés]]</f>
        <v>1775</v>
      </c>
      <c r="O170" s="192">
        <f>(Tableau4[[#This Row],[AF accordée ($)]])/($J$6*D170)</f>
        <v>0.44337313283708846</v>
      </c>
      <c r="P170" s="192">
        <f>Tableau4[[#This Row],[Couverture 0 (%)]]*Tableau4[[#This Row],[Nombres appareils installés]]</f>
        <v>1.7734925313483538</v>
      </c>
      <c r="Q170" s="189">
        <f>($Q$4+$R$4*(Tableau4[[#This Row],[Capacité (BTU)]]/1000))*Tableau4[[#This Row],[Nombres appareils installés]]</f>
        <v>11500</v>
      </c>
      <c r="R170" s="189">
        <f>Tableau4[[#This Row],[AF 1 ($)]]/Tableau4[[#This Row],[Nombres appareils installés]]</f>
        <v>2875</v>
      </c>
      <c r="S170" s="192">
        <f>Tableau4[[#This Row],[AF 1 ($)]]/(J170*D170)</f>
        <v>0.59466559109759765</v>
      </c>
      <c r="T170" s="192">
        <f>Tableau4[[#This Row],[Couverture 1 (%)]]*Tableau4[[#This Row],[Nombres appareils installés]]</f>
        <v>2.3786623643903906</v>
      </c>
      <c r="U170" s="189">
        <f>($U$4+($V$4*(Tableau4[[#This Row],[Capacité (BTU)]]/1000)))*Tableau4[[#This Row],[Nombres appareils installés]]</f>
        <v>13250</v>
      </c>
      <c r="V170" s="189">
        <f>Tableau4[[#This Row],[AF 2 ($)]]/Tableau4[[#This Row],[Nombres appareils installés]]</f>
        <v>3312.5</v>
      </c>
      <c r="W170" s="193">
        <f>Tableau4[[#This Row],[AF 2 par appareil ($)]]/Tableau4[[#This Row],[Surcoût par appareil ($)]]</f>
        <v>0.68515818104723203</v>
      </c>
      <c r="X170" s="193">
        <f>Tableau4[[#This Row],[Couverture 2 (%)]]*Tableau4[[#This Row],[Nombres appareils installés]]</f>
        <v>2.7406327241889281</v>
      </c>
      <c r="Y170" s="189">
        <f>($Y$4+$Z$4*(Tableau4[[#This Row],[Capacité (BTU)]]/1000))*Tableau4[[#This Row],[Nombres appareils installés]]</f>
        <v>13500</v>
      </c>
      <c r="Z170" s="189">
        <f>Tableau4[[#This Row],[AF 3 ($)]]/Tableau4[[#This Row],[Nombres appareils installés]]</f>
        <v>3375</v>
      </c>
      <c r="AA170" s="194">
        <f>Tableau4[[#This Row],[AF 3 par appareil ($)]]/Tableau4[[#This Row],[Surcoût par appareil ($)]]</f>
        <v>0.69808569389717978</v>
      </c>
      <c r="AB170" s="194">
        <f>Tableau4[[#This Row],[Couverture 3 (%)]]*Tableau4[[#This Row],[Nombres appareils installés]]</f>
        <v>2.7923427755887191</v>
      </c>
      <c r="AC170" s="189">
        <f>($AC$4+$AD$4*(Tableau4[[#This Row],[Capacité (BTU)]]/1000))*Tableau4[[#This Row],[Nombres appareils installés]]</f>
        <v>11600</v>
      </c>
      <c r="AD170" s="189">
        <f>Tableau4[[#This Row],[AF 4 ($)]]/Tableau4[[#This Row],[Nombres appareils installés]]</f>
        <v>2900</v>
      </c>
      <c r="AE170" s="195">
        <f>Tableau4[[#This Row],[Couverture 4 (%)]]*Tableau4[[#This Row],[Nombres appareils installés]]</f>
        <v>2.3993463849503067</v>
      </c>
      <c r="AF170" s="194">
        <f>Tableau4[[#This Row],[AF 4 par appareil  ($)]]/Tableau4[[#This Row],[Surcoût par appareil ($)]]</f>
        <v>0.59983659623757668</v>
      </c>
    </row>
    <row r="171" spans="2:32" x14ac:dyDescent="0.3">
      <c r="B171" s="198" t="s">
        <v>319</v>
      </c>
      <c r="C171" s="189" t="s">
        <v>216</v>
      </c>
      <c r="D171" s="198">
        <v>2</v>
      </c>
      <c r="E171" s="198">
        <v>180000</v>
      </c>
      <c r="F171" s="199">
        <f>Tableau4[[#This Row],[Economies totales (m3)]]/Tableau4[[#This Row],[Nombres appareils installés]]</f>
        <v>909</v>
      </c>
      <c r="G171" s="198">
        <v>1818</v>
      </c>
      <c r="H171" s="189">
        <f t="shared" si="4"/>
        <v>2487.4</v>
      </c>
      <c r="I171" s="189">
        <v>2400</v>
      </c>
      <c r="J171" s="189">
        <f>Tableau4[[#This Row],[Surcoût moyens de l''équipement ($)]]+Tableau4[[#This Row],[Surcoût moyen de l''installation ($)]]</f>
        <v>4887.3999999999996</v>
      </c>
      <c r="K171" s="189">
        <f>Tableau4[[#This Row],[Surcoût par appareil ($)]]*Tableau4[[#This Row],[Nombres appareils installés]]</f>
        <v>9774.7999999999993</v>
      </c>
      <c r="L171" s="198">
        <v>3600</v>
      </c>
      <c r="M171" s="189">
        <f t="shared" si="5"/>
        <v>3600</v>
      </c>
      <c r="N171" s="189">
        <f>Tableau4[[#This Row],[AF 0 ($)]]/Tableau4[[#This Row],[Nombres appareils installés]]</f>
        <v>1800</v>
      </c>
      <c r="O171" s="192">
        <f>(Tableau4[[#This Row],[AF accordée ($)]])/($J$6*D171)</f>
        <v>0.44961782484887847</v>
      </c>
      <c r="P171" s="192">
        <f>Tableau4[[#This Row],[Couverture 0 (%)]]*Tableau4[[#This Row],[Nombres appareils installés]]</f>
        <v>0.89923564969775693</v>
      </c>
      <c r="Q171" s="189">
        <f>($Q$4+$R$4*(Tableau4[[#This Row],[Capacité (BTU)]]/1000))*Tableau4[[#This Row],[Nombres appareils installés]]</f>
        <v>5800</v>
      </c>
      <c r="R171" s="189">
        <f>Tableau4[[#This Row],[AF 1 ($)]]/Tableau4[[#This Row],[Nombres appareils installés]]</f>
        <v>2900</v>
      </c>
      <c r="S171" s="192">
        <f>Tableau4[[#This Row],[AF 1 ($)]]/(J171*D171)</f>
        <v>0.59336252404141265</v>
      </c>
      <c r="T171" s="192">
        <f>Tableau4[[#This Row],[Couverture 1 (%)]]*Tableau4[[#This Row],[Nombres appareils installés]]</f>
        <v>1.1867250480828253</v>
      </c>
      <c r="U171" s="189">
        <f>($U$4+($V$4*(Tableau4[[#This Row],[Capacité (BTU)]]/1000)))*Tableau4[[#This Row],[Nombres appareils installés]]</f>
        <v>6700</v>
      </c>
      <c r="V171" s="189">
        <f>Tableau4[[#This Row],[AF 2 ($)]]/Tableau4[[#This Row],[Nombres appareils installés]]</f>
        <v>3350</v>
      </c>
      <c r="W171" s="193">
        <f>Tableau4[[#This Row],[AF 2 par appareil ($)]]/Tableau4[[#This Row],[Surcoût par appareil ($)]]</f>
        <v>0.68543601915128705</v>
      </c>
      <c r="X171" s="193">
        <f>Tableau4[[#This Row],[Couverture 2 (%)]]*Tableau4[[#This Row],[Nombres appareils installés]]</f>
        <v>1.3708720383025741</v>
      </c>
      <c r="Y171" s="189">
        <f>($Y$4+$Z$4*(Tableau4[[#This Row],[Capacité (BTU)]]/1000))*Tableau4[[#This Row],[Nombres appareils installés]]</f>
        <v>6800</v>
      </c>
      <c r="Z171" s="189">
        <f>Tableau4[[#This Row],[AF 3 ($)]]/Tableau4[[#This Row],[Nombres appareils installés]]</f>
        <v>3400</v>
      </c>
      <c r="AA171" s="194">
        <f>Tableau4[[#This Row],[AF 3 par appareil ($)]]/Tableau4[[#This Row],[Surcoût par appareil ($)]]</f>
        <v>0.69566640749682862</v>
      </c>
      <c r="AB171" s="194">
        <f>Tableau4[[#This Row],[Couverture 3 (%)]]*Tableau4[[#This Row],[Nombres appareils installés]]</f>
        <v>1.3913328149936572</v>
      </c>
      <c r="AC171" s="189">
        <f>($AC$4+$AD$4*(Tableau4[[#This Row],[Capacité (BTU)]]/1000))*Tableau4[[#This Row],[Nombres appareils installés]]</f>
        <v>5840</v>
      </c>
      <c r="AD171" s="189">
        <f>Tableau4[[#This Row],[AF 4 ($)]]/Tableau4[[#This Row],[Nombres appareils installés]]</f>
        <v>2920</v>
      </c>
      <c r="AE171" s="195">
        <f>Tableau4[[#This Row],[Couverture 4 (%)]]*Tableau4[[#This Row],[Nombres appareils installés]]</f>
        <v>1.1949093587592585</v>
      </c>
      <c r="AF171" s="194">
        <f>Tableau4[[#This Row],[AF 4 par appareil  ($)]]/Tableau4[[#This Row],[Surcoût par appareil ($)]]</f>
        <v>0.59745467937962926</v>
      </c>
    </row>
    <row r="172" spans="2:32" x14ac:dyDescent="0.3">
      <c r="B172" s="189" t="s">
        <v>319</v>
      </c>
      <c r="C172" s="189" t="s">
        <v>216</v>
      </c>
      <c r="D172" s="189">
        <v>7</v>
      </c>
      <c r="E172" s="189">
        <v>180000</v>
      </c>
      <c r="F172" s="197">
        <f>Tableau4[[#This Row],[Economies totales (m3)]]/Tableau4[[#This Row],[Nombres appareils installés]]</f>
        <v>909</v>
      </c>
      <c r="G172" s="189">
        <v>6363</v>
      </c>
      <c r="H172" s="189">
        <f t="shared" si="4"/>
        <v>2487.4</v>
      </c>
      <c r="I172" s="189">
        <v>2400</v>
      </c>
      <c r="J172" s="189">
        <f>Tableau4[[#This Row],[Surcoût moyens de l''équipement ($)]]+Tableau4[[#This Row],[Surcoût moyen de l''installation ($)]]</f>
        <v>4887.3999999999996</v>
      </c>
      <c r="K172" s="189">
        <f>Tableau4[[#This Row],[Surcoût par appareil ($)]]*Tableau4[[#This Row],[Nombres appareils installés]]</f>
        <v>34211.799999999996</v>
      </c>
      <c r="L172" s="189">
        <v>12600</v>
      </c>
      <c r="M172" s="189">
        <f t="shared" si="5"/>
        <v>12600</v>
      </c>
      <c r="N172" s="189">
        <f>Tableau4[[#This Row],[AF 0 ($)]]/Tableau4[[#This Row],[Nombres appareils installés]]</f>
        <v>1800</v>
      </c>
      <c r="O172" s="192">
        <f>(Tableau4[[#This Row],[AF accordée ($)]])/($J$6*D172)</f>
        <v>0.44961782484887847</v>
      </c>
      <c r="P172" s="192">
        <f>Tableau4[[#This Row],[Couverture 0 (%)]]*Tableau4[[#This Row],[Nombres appareils installés]]</f>
        <v>3.1473247739421493</v>
      </c>
      <c r="Q172" s="189">
        <f>($Q$4+$R$4*(Tableau4[[#This Row],[Capacité (BTU)]]/1000))*Tableau4[[#This Row],[Nombres appareils installés]]</f>
        <v>20300</v>
      </c>
      <c r="R172" s="189">
        <f>Tableau4[[#This Row],[AF 1 ($)]]/Tableau4[[#This Row],[Nombres appareils installés]]</f>
        <v>2900</v>
      </c>
      <c r="S172" s="192">
        <f>Tableau4[[#This Row],[AF 1 ($)]]/(J172*D172)</f>
        <v>0.59336252404141265</v>
      </c>
      <c r="T172" s="192">
        <f>Tableau4[[#This Row],[Couverture 1 (%)]]*Tableau4[[#This Row],[Nombres appareils installés]]</f>
        <v>4.1535376682898884</v>
      </c>
      <c r="U172" s="189">
        <f>($U$4+($V$4*(Tableau4[[#This Row],[Capacité (BTU)]]/1000)))*Tableau4[[#This Row],[Nombres appareils installés]]</f>
        <v>23450</v>
      </c>
      <c r="V172" s="189">
        <f>Tableau4[[#This Row],[AF 2 ($)]]/Tableau4[[#This Row],[Nombres appareils installés]]</f>
        <v>3350</v>
      </c>
      <c r="W172" s="193">
        <f>Tableau4[[#This Row],[AF 2 par appareil ($)]]/Tableau4[[#This Row],[Surcoût par appareil ($)]]</f>
        <v>0.68543601915128705</v>
      </c>
      <c r="X172" s="193">
        <f>Tableau4[[#This Row],[Couverture 2 (%)]]*Tableau4[[#This Row],[Nombres appareils installés]]</f>
        <v>4.7980521340590094</v>
      </c>
      <c r="Y172" s="189">
        <f>($Y$4+$Z$4*(Tableau4[[#This Row],[Capacité (BTU)]]/1000))*Tableau4[[#This Row],[Nombres appareils installés]]</f>
        <v>23800</v>
      </c>
      <c r="Z172" s="189">
        <f>Tableau4[[#This Row],[AF 3 ($)]]/Tableau4[[#This Row],[Nombres appareils installés]]</f>
        <v>3400</v>
      </c>
      <c r="AA172" s="194">
        <f>Tableau4[[#This Row],[AF 3 par appareil ($)]]/Tableau4[[#This Row],[Surcoût par appareil ($)]]</f>
        <v>0.69566640749682862</v>
      </c>
      <c r="AB172" s="194">
        <f>Tableau4[[#This Row],[Couverture 3 (%)]]*Tableau4[[#This Row],[Nombres appareils installés]]</f>
        <v>4.8696648524778006</v>
      </c>
      <c r="AC172" s="189">
        <f>($AC$4+$AD$4*(Tableau4[[#This Row],[Capacité (BTU)]]/1000))*Tableau4[[#This Row],[Nombres appareils installés]]</f>
        <v>20440</v>
      </c>
      <c r="AD172" s="189">
        <f>Tableau4[[#This Row],[AF 4 ($)]]/Tableau4[[#This Row],[Nombres appareils installés]]</f>
        <v>2920</v>
      </c>
      <c r="AE172" s="195">
        <f>Tableau4[[#This Row],[Couverture 4 (%)]]*Tableau4[[#This Row],[Nombres appareils installés]]</f>
        <v>4.1821827556574052</v>
      </c>
      <c r="AF172" s="194">
        <f>Tableau4[[#This Row],[AF 4 par appareil  ($)]]/Tableau4[[#This Row],[Surcoût par appareil ($)]]</f>
        <v>0.59745467937962926</v>
      </c>
    </row>
    <row r="173" spans="2:32" x14ac:dyDescent="0.3">
      <c r="B173" s="189" t="s">
        <v>319</v>
      </c>
      <c r="C173" s="189" t="s">
        <v>216</v>
      </c>
      <c r="D173" s="189">
        <v>1</v>
      </c>
      <c r="E173" s="189">
        <v>260000</v>
      </c>
      <c r="F173" s="197">
        <f>Tableau4[[#This Row],[Economies totales (m3)]]/Tableau4[[#This Row],[Nombres appareils installés]]</f>
        <v>1313</v>
      </c>
      <c r="G173" s="189">
        <v>1313</v>
      </c>
      <c r="H173" s="189">
        <f t="shared" si="4"/>
        <v>3535.3999999999996</v>
      </c>
      <c r="I173" s="189">
        <v>2400</v>
      </c>
      <c r="J173" s="189">
        <f>Tableau4[[#This Row],[Surcoût moyens de l''équipement ($)]]+Tableau4[[#This Row],[Surcoût moyen de l''installation ($)]]</f>
        <v>5935.4</v>
      </c>
      <c r="K173" s="189">
        <f>Tableau4[[#This Row],[Surcoût par appareil ($)]]*Tableau4[[#This Row],[Nombres appareils installés]]</f>
        <v>5935.4</v>
      </c>
      <c r="L173" s="189">
        <v>2200</v>
      </c>
      <c r="M173" s="189">
        <f t="shared" si="5"/>
        <v>2200</v>
      </c>
      <c r="N173" s="189">
        <f>Tableau4[[#This Row],[AF 0 ($)]]/Tableau4[[#This Row],[Nombres appareils installés]]</f>
        <v>2200</v>
      </c>
      <c r="O173" s="192">
        <f>(Tableau4[[#This Row],[AF accordée ($)]])/($J$6*D173)</f>
        <v>0.54953289703751806</v>
      </c>
      <c r="P173" s="192">
        <f>Tableau4[[#This Row],[Couverture 0 (%)]]*Tableau4[[#This Row],[Nombres appareils installés]]</f>
        <v>0.54953289703751806</v>
      </c>
      <c r="Q173" s="189">
        <f>($Q$4+$R$4*(Tableau4[[#This Row],[Capacité (BTU)]]/1000))*Tableau4[[#This Row],[Nombres appareils installés]]</f>
        <v>3300</v>
      </c>
      <c r="R173" s="189">
        <f>Tableau4[[#This Row],[AF 1 ($)]]/Tableau4[[#This Row],[Nombres appareils installés]]</f>
        <v>3300</v>
      </c>
      <c r="S173" s="192">
        <f>Tableau4[[#This Row],[AF 1 ($)]]/(J173*D173)</f>
        <v>0.55598611719513436</v>
      </c>
      <c r="T173" s="192">
        <f>Tableau4[[#This Row],[Couverture 1 (%)]]*Tableau4[[#This Row],[Nombres appareils installés]]</f>
        <v>0.55598611719513436</v>
      </c>
      <c r="U173" s="189">
        <f>($U$4+($V$4*(Tableau4[[#This Row],[Capacité (BTU)]]/1000)))*Tableau4[[#This Row],[Nombres appareils installés]]</f>
        <v>3950</v>
      </c>
      <c r="V173" s="189">
        <f>Tableau4[[#This Row],[AF 2 ($)]]/Tableau4[[#This Row],[Nombres appareils installés]]</f>
        <v>3950</v>
      </c>
      <c r="W173" s="193">
        <f>Tableau4[[#This Row],[AF 2 par appareil ($)]]/Tableau4[[#This Row],[Surcoût par appareil ($)]]</f>
        <v>0.66549853421841831</v>
      </c>
      <c r="X173" s="193">
        <f>Tableau4[[#This Row],[Couverture 2 (%)]]*Tableau4[[#This Row],[Nombres appareils installés]]</f>
        <v>0.66549853421841831</v>
      </c>
      <c r="Y173" s="189">
        <f>($Y$4+$Z$4*(Tableau4[[#This Row],[Capacité (BTU)]]/1000))*Tableau4[[#This Row],[Nombres appareils installés]]</f>
        <v>3800</v>
      </c>
      <c r="Z173" s="189">
        <f>Tableau4[[#This Row],[AF 3 ($)]]/Tableau4[[#This Row],[Nombres appareils installés]]</f>
        <v>3800</v>
      </c>
      <c r="AA173" s="194">
        <f>Tableau4[[#This Row],[AF 3 par appareil ($)]]/Tableau4[[#This Row],[Surcoût par appareil ($)]]</f>
        <v>0.64022643798227585</v>
      </c>
      <c r="AB173" s="194">
        <f>Tableau4[[#This Row],[Couverture 3 (%)]]*Tableau4[[#This Row],[Nombres appareils installés]]</f>
        <v>0.64022643798227585</v>
      </c>
      <c r="AC173" s="189">
        <f>($AC$4+$AD$4*(Tableau4[[#This Row],[Capacité (BTU)]]/1000))*Tableau4[[#This Row],[Nombres appareils installés]]</f>
        <v>3240</v>
      </c>
      <c r="AD173" s="189">
        <f>Tableau4[[#This Row],[AF 4 ($)]]/Tableau4[[#This Row],[Nombres appareils installés]]</f>
        <v>3240</v>
      </c>
      <c r="AE173" s="195">
        <f>Tableau4[[#This Row],[Couverture 4 (%)]]*Tableau4[[#This Row],[Nombres appareils installés]]</f>
        <v>0.54587727870067737</v>
      </c>
      <c r="AF173" s="194">
        <f>Tableau4[[#This Row],[AF 4 par appareil  ($)]]/Tableau4[[#This Row],[Surcoût par appareil ($)]]</f>
        <v>0.54587727870067737</v>
      </c>
    </row>
    <row r="174" spans="2:32" x14ac:dyDescent="0.3">
      <c r="B174" s="198" t="s">
        <v>319</v>
      </c>
      <c r="C174" s="189" t="s">
        <v>216</v>
      </c>
      <c r="D174" s="198">
        <v>1</v>
      </c>
      <c r="E174" s="198">
        <v>260000</v>
      </c>
      <c r="F174" s="199">
        <f>Tableau4[[#This Row],[Economies totales (m3)]]/Tableau4[[#This Row],[Nombres appareils installés]]</f>
        <v>1313</v>
      </c>
      <c r="G174" s="198">
        <v>1313</v>
      </c>
      <c r="H174" s="189">
        <f t="shared" si="4"/>
        <v>3535.3999999999996</v>
      </c>
      <c r="I174" s="189">
        <v>2400</v>
      </c>
      <c r="J174" s="189">
        <f>Tableau4[[#This Row],[Surcoût moyens de l''équipement ($)]]+Tableau4[[#This Row],[Surcoût moyen de l''installation ($)]]</f>
        <v>5935.4</v>
      </c>
      <c r="K174" s="189">
        <f>Tableau4[[#This Row],[Surcoût par appareil ($)]]*Tableau4[[#This Row],[Nombres appareils installés]]</f>
        <v>5935.4</v>
      </c>
      <c r="L174" s="198">
        <v>2200</v>
      </c>
      <c r="M174" s="189">
        <f t="shared" si="5"/>
        <v>2200</v>
      </c>
      <c r="N174" s="189">
        <f>Tableau4[[#This Row],[AF 0 ($)]]/Tableau4[[#This Row],[Nombres appareils installés]]</f>
        <v>2200</v>
      </c>
      <c r="O174" s="192">
        <f>(Tableau4[[#This Row],[AF accordée ($)]])/($J$6*D174)</f>
        <v>0.54953289703751806</v>
      </c>
      <c r="P174" s="192">
        <f>Tableau4[[#This Row],[Couverture 0 (%)]]*Tableau4[[#This Row],[Nombres appareils installés]]</f>
        <v>0.54953289703751806</v>
      </c>
      <c r="Q174" s="189">
        <f>($Q$4+$R$4*(Tableau4[[#This Row],[Capacité (BTU)]]/1000))*Tableau4[[#This Row],[Nombres appareils installés]]</f>
        <v>3300</v>
      </c>
      <c r="R174" s="189">
        <f>Tableau4[[#This Row],[AF 1 ($)]]/Tableau4[[#This Row],[Nombres appareils installés]]</f>
        <v>3300</v>
      </c>
      <c r="S174" s="192">
        <f>Tableau4[[#This Row],[AF 1 ($)]]/(J174*D174)</f>
        <v>0.55598611719513436</v>
      </c>
      <c r="T174" s="192">
        <f>Tableau4[[#This Row],[Couverture 1 (%)]]*Tableau4[[#This Row],[Nombres appareils installés]]</f>
        <v>0.55598611719513436</v>
      </c>
      <c r="U174" s="189">
        <f>($U$4+($V$4*(Tableau4[[#This Row],[Capacité (BTU)]]/1000)))*Tableau4[[#This Row],[Nombres appareils installés]]</f>
        <v>3950</v>
      </c>
      <c r="V174" s="189">
        <f>Tableau4[[#This Row],[AF 2 ($)]]/Tableau4[[#This Row],[Nombres appareils installés]]</f>
        <v>3950</v>
      </c>
      <c r="W174" s="193">
        <f>Tableau4[[#This Row],[AF 2 par appareil ($)]]/Tableau4[[#This Row],[Surcoût par appareil ($)]]</f>
        <v>0.66549853421841831</v>
      </c>
      <c r="X174" s="193">
        <f>Tableau4[[#This Row],[Couverture 2 (%)]]*Tableau4[[#This Row],[Nombres appareils installés]]</f>
        <v>0.66549853421841831</v>
      </c>
      <c r="Y174" s="189">
        <f>($Y$4+$Z$4*(Tableau4[[#This Row],[Capacité (BTU)]]/1000))*Tableau4[[#This Row],[Nombres appareils installés]]</f>
        <v>3800</v>
      </c>
      <c r="Z174" s="189">
        <f>Tableau4[[#This Row],[AF 3 ($)]]/Tableau4[[#This Row],[Nombres appareils installés]]</f>
        <v>3800</v>
      </c>
      <c r="AA174" s="194">
        <f>Tableau4[[#This Row],[AF 3 par appareil ($)]]/Tableau4[[#This Row],[Surcoût par appareil ($)]]</f>
        <v>0.64022643798227585</v>
      </c>
      <c r="AB174" s="194">
        <f>Tableau4[[#This Row],[Couverture 3 (%)]]*Tableau4[[#This Row],[Nombres appareils installés]]</f>
        <v>0.64022643798227585</v>
      </c>
      <c r="AC174" s="189">
        <f>($AC$4+$AD$4*(Tableau4[[#This Row],[Capacité (BTU)]]/1000))*Tableau4[[#This Row],[Nombres appareils installés]]</f>
        <v>3240</v>
      </c>
      <c r="AD174" s="189">
        <f>Tableau4[[#This Row],[AF 4 ($)]]/Tableau4[[#This Row],[Nombres appareils installés]]</f>
        <v>3240</v>
      </c>
      <c r="AE174" s="195">
        <f>Tableau4[[#This Row],[Couverture 4 (%)]]*Tableau4[[#This Row],[Nombres appareils installés]]</f>
        <v>0.54587727870067737</v>
      </c>
      <c r="AF174" s="194">
        <f>Tableau4[[#This Row],[AF 4 par appareil  ($)]]/Tableau4[[#This Row],[Surcoût par appareil ($)]]</f>
        <v>0.54587727870067737</v>
      </c>
    </row>
    <row r="175" spans="2:32" x14ac:dyDescent="0.3">
      <c r="B175" s="198" t="s">
        <v>319</v>
      </c>
      <c r="C175" s="189" t="s">
        <v>216</v>
      </c>
      <c r="D175" s="198">
        <v>2</v>
      </c>
      <c r="E175" s="198">
        <v>260000</v>
      </c>
      <c r="F175" s="199">
        <f>Tableau4[[#This Row],[Economies totales (m3)]]/Tableau4[[#This Row],[Nombres appareils installés]]</f>
        <v>1313</v>
      </c>
      <c r="G175" s="198">
        <v>2626</v>
      </c>
      <c r="H175" s="189">
        <f t="shared" si="4"/>
        <v>3535.3999999999996</v>
      </c>
      <c r="I175" s="189">
        <v>2400</v>
      </c>
      <c r="J175" s="189">
        <f>Tableau4[[#This Row],[Surcoût moyens de l''équipement ($)]]+Tableau4[[#This Row],[Surcoût moyen de l''installation ($)]]</f>
        <v>5935.4</v>
      </c>
      <c r="K175" s="189">
        <f>Tableau4[[#This Row],[Surcoût par appareil ($)]]*Tableau4[[#This Row],[Nombres appareils installés]]</f>
        <v>11870.8</v>
      </c>
      <c r="L175" s="198">
        <v>4400</v>
      </c>
      <c r="M175" s="189">
        <f t="shared" si="5"/>
        <v>4400</v>
      </c>
      <c r="N175" s="189">
        <f>Tableau4[[#This Row],[AF 0 ($)]]/Tableau4[[#This Row],[Nombres appareils installés]]</f>
        <v>2200</v>
      </c>
      <c r="O175" s="192">
        <f>(Tableau4[[#This Row],[AF accordée ($)]])/($J$6*D175)</f>
        <v>0.54953289703751806</v>
      </c>
      <c r="P175" s="192">
        <f>Tableau4[[#This Row],[Couverture 0 (%)]]*Tableau4[[#This Row],[Nombres appareils installés]]</f>
        <v>1.0990657940750361</v>
      </c>
      <c r="Q175" s="189">
        <f>($Q$4+$R$4*(Tableau4[[#This Row],[Capacité (BTU)]]/1000))*Tableau4[[#This Row],[Nombres appareils installés]]</f>
        <v>6600</v>
      </c>
      <c r="R175" s="189">
        <f>Tableau4[[#This Row],[AF 1 ($)]]/Tableau4[[#This Row],[Nombres appareils installés]]</f>
        <v>3300</v>
      </c>
      <c r="S175" s="192">
        <f>Tableau4[[#This Row],[AF 1 ($)]]/(J175*D175)</f>
        <v>0.55598611719513436</v>
      </c>
      <c r="T175" s="192">
        <f>Tableau4[[#This Row],[Couverture 1 (%)]]*Tableau4[[#This Row],[Nombres appareils installés]]</f>
        <v>1.1119722343902687</v>
      </c>
      <c r="U175" s="189">
        <f>($U$4+($V$4*(Tableau4[[#This Row],[Capacité (BTU)]]/1000)))*Tableau4[[#This Row],[Nombres appareils installés]]</f>
        <v>7900</v>
      </c>
      <c r="V175" s="189">
        <f>Tableau4[[#This Row],[AF 2 ($)]]/Tableau4[[#This Row],[Nombres appareils installés]]</f>
        <v>3950</v>
      </c>
      <c r="W175" s="193">
        <f>Tableau4[[#This Row],[AF 2 par appareil ($)]]/Tableau4[[#This Row],[Surcoût par appareil ($)]]</f>
        <v>0.66549853421841831</v>
      </c>
      <c r="X175" s="193">
        <f>Tableau4[[#This Row],[Couverture 2 (%)]]*Tableau4[[#This Row],[Nombres appareils installés]]</f>
        <v>1.3309970684368366</v>
      </c>
      <c r="Y175" s="189">
        <f>($Y$4+$Z$4*(Tableau4[[#This Row],[Capacité (BTU)]]/1000))*Tableau4[[#This Row],[Nombres appareils installés]]</f>
        <v>7600</v>
      </c>
      <c r="Z175" s="189">
        <f>Tableau4[[#This Row],[AF 3 ($)]]/Tableau4[[#This Row],[Nombres appareils installés]]</f>
        <v>3800</v>
      </c>
      <c r="AA175" s="194">
        <f>Tableau4[[#This Row],[AF 3 par appareil ($)]]/Tableau4[[#This Row],[Surcoût par appareil ($)]]</f>
        <v>0.64022643798227585</v>
      </c>
      <c r="AB175" s="194">
        <f>Tableau4[[#This Row],[Couverture 3 (%)]]*Tableau4[[#This Row],[Nombres appareils installés]]</f>
        <v>1.2804528759645517</v>
      </c>
      <c r="AC175" s="189">
        <f>($AC$4+$AD$4*(Tableau4[[#This Row],[Capacité (BTU)]]/1000))*Tableau4[[#This Row],[Nombres appareils installés]]</f>
        <v>6480</v>
      </c>
      <c r="AD175" s="189">
        <f>Tableau4[[#This Row],[AF 4 ($)]]/Tableau4[[#This Row],[Nombres appareils installés]]</f>
        <v>3240</v>
      </c>
      <c r="AE175" s="195">
        <f>Tableau4[[#This Row],[Couverture 4 (%)]]*Tableau4[[#This Row],[Nombres appareils installés]]</f>
        <v>1.0917545574013547</v>
      </c>
      <c r="AF175" s="194">
        <f>Tableau4[[#This Row],[AF 4 par appareil  ($)]]/Tableau4[[#This Row],[Surcoût par appareil ($)]]</f>
        <v>0.54587727870067737</v>
      </c>
    </row>
    <row r="176" spans="2:32" x14ac:dyDescent="0.3">
      <c r="B176" s="189" t="s">
        <v>319</v>
      </c>
      <c r="C176" s="189" t="s">
        <v>216</v>
      </c>
      <c r="D176" s="189">
        <v>3</v>
      </c>
      <c r="E176" s="189">
        <v>260000</v>
      </c>
      <c r="F176" s="197">
        <f>Tableau4[[#This Row],[Economies totales (m3)]]/Tableau4[[#This Row],[Nombres appareils installés]]</f>
        <v>1313</v>
      </c>
      <c r="G176" s="189">
        <v>3939</v>
      </c>
      <c r="H176" s="189">
        <f t="shared" si="4"/>
        <v>3535.3999999999996</v>
      </c>
      <c r="I176" s="189">
        <v>2400</v>
      </c>
      <c r="J176" s="189">
        <f>Tableau4[[#This Row],[Surcoût moyens de l''équipement ($)]]+Tableau4[[#This Row],[Surcoût moyen de l''installation ($)]]</f>
        <v>5935.4</v>
      </c>
      <c r="K176" s="189">
        <f>Tableau4[[#This Row],[Surcoût par appareil ($)]]*Tableau4[[#This Row],[Nombres appareils installés]]</f>
        <v>17806.199999999997</v>
      </c>
      <c r="L176" s="189">
        <v>6600</v>
      </c>
      <c r="M176" s="189">
        <f t="shared" si="5"/>
        <v>6600</v>
      </c>
      <c r="N176" s="189">
        <f>Tableau4[[#This Row],[AF 0 ($)]]/Tableau4[[#This Row],[Nombres appareils installés]]</f>
        <v>2200</v>
      </c>
      <c r="O176" s="192">
        <f>(Tableau4[[#This Row],[AF accordée ($)]])/($J$6*D176)</f>
        <v>0.54953289703751806</v>
      </c>
      <c r="P176" s="192">
        <f>Tableau4[[#This Row],[Couverture 0 (%)]]*Tableau4[[#This Row],[Nombres appareils installés]]</f>
        <v>1.6485986911125541</v>
      </c>
      <c r="Q176" s="189">
        <f>($Q$4+$R$4*(Tableau4[[#This Row],[Capacité (BTU)]]/1000))*Tableau4[[#This Row],[Nombres appareils installés]]</f>
        <v>9900</v>
      </c>
      <c r="R176" s="189">
        <f>Tableau4[[#This Row],[AF 1 ($)]]/Tableau4[[#This Row],[Nombres appareils installés]]</f>
        <v>3300</v>
      </c>
      <c r="S176" s="192">
        <f>Tableau4[[#This Row],[AF 1 ($)]]/(J176*D176)</f>
        <v>0.55598611719513436</v>
      </c>
      <c r="T176" s="192">
        <f>Tableau4[[#This Row],[Couverture 1 (%)]]*Tableau4[[#This Row],[Nombres appareils installés]]</f>
        <v>1.6679583515854031</v>
      </c>
      <c r="U176" s="189">
        <f>($U$4+($V$4*(Tableau4[[#This Row],[Capacité (BTU)]]/1000)))*Tableau4[[#This Row],[Nombres appareils installés]]</f>
        <v>11850</v>
      </c>
      <c r="V176" s="189">
        <f>Tableau4[[#This Row],[AF 2 ($)]]/Tableau4[[#This Row],[Nombres appareils installés]]</f>
        <v>3950</v>
      </c>
      <c r="W176" s="193">
        <f>Tableau4[[#This Row],[AF 2 par appareil ($)]]/Tableau4[[#This Row],[Surcoût par appareil ($)]]</f>
        <v>0.66549853421841831</v>
      </c>
      <c r="X176" s="193">
        <f>Tableau4[[#This Row],[Couverture 2 (%)]]*Tableau4[[#This Row],[Nombres appareils installés]]</f>
        <v>1.9964956026552549</v>
      </c>
      <c r="Y176" s="189">
        <f>($Y$4+$Z$4*(Tableau4[[#This Row],[Capacité (BTU)]]/1000))*Tableau4[[#This Row],[Nombres appareils installés]]</f>
        <v>11400</v>
      </c>
      <c r="Z176" s="189">
        <f>Tableau4[[#This Row],[AF 3 ($)]]/Tableau4[[#This Row],[Nombres appareils installés]]</f>
        <v>3800</v>
      </c>
      <c r="AA176" s="194">
        <f>Tableau4[[#This Row],[AF 3 par appareil ($)]]/Tableau4[[#This Row],[Surcoût par appareil ($)]]</f>
        <v>0.64022643798227585</v>
      </c>
      <c r="AB176" s="194">
        <f>Tableau4[[#This Row],[Couverture 3 (%)]]*Tableau4[[#This Row],[Nombres appareils installés]]</f>
        <v>1.9206793139468274</v>
      </c>
      <c r="AC176" s="189">
        <f>($AC$4+$AD$4*(Tableau4[[#This Row],[Capacité (BTU)]]/1000))*Tableau4[[#This Row],[Nombres appareils installés]]</f>
        <v>9720</v>
      </c>
      <c r="AD176" s="189">
        <f>Tableau4[[#This Row],[AF 4 ($)]]/Tableau4[[#This Row],[Nombres appareils installés]]</f>
        <v>3240</v>
      </c>
      <c r="AE176" s="195">
        <f>Tableau4[[#This Row],[Couverture 4 (%)]]*Tableau4[[#This Row],[Nombres appareils installés]]</f>
        <v>1.6376318361020321</v>
      </c>
      <c r="AF176" s="194">
        <f>Tableau4[[#This Row],[AF 4 par appareil  ($)]]/Tableau4[[#This Row],[Surcoût par appareil ($)]]</f>
        <v>0.54587727870067737</v>
      </c>
    </row>
    <row r="177" spans="2:32" x14ac:dyDescent="0.3">
      <c r="B177" s="189" t="s">
        <v>319</v>
      </c>
      <c r="C177" s="189" t="s">
        <v>216</v>
      </c>
      <c r="D177" s="189">
        <v>3</v>
      </c>
      <c r="E177" s="189">
        <v>260000</v>
      </c>
      <c r="F177" s="197">
        <f>Tableau4[[#This Row],[Economies totales (m3)]]/Tableau4[[#This Row],[Nombres appareils installés]]</f>
        <v>1313</v>
      </c>
      <c r="G177" s="189">
        <v>3939</v>
      </c>
      <c r="H177" s="189">
        <f t="shared" si="4"/>
        <v>3535.3999999999996</v>
      </c>
      <c r="I177" s="189">
        <v>2400</v>
      </c>
      <c r="J177" s="189">
        <f>Tableau4[[#This Row],[Surcoût moyens de l''équipement ($)]]+Tableau4[[#This Row],[Surcoût moyen de l''installation ($)]]</f>
        <v>5935.4</v>
      </c>
      <c r="K177" s="189">
        <f>Tableau4[[#This Row],[Surcoût par appareil ($)]]*Tableau4[[#This Row],[Nombres appareils installés]]</f>
        <v>17806.199999999997</v>
      </c>
      <c r="L177" s="189">
        <v>6600</v>
      </c>
      <c r="M177" s="189">
        <f t="shared" si="5"/>
        <v>6600</v>
      </c>
      <c r="N177" s="189">
        <f>Tableau4[[#This Row],[AF 0 ($)]]/Tableau4[[#This Row],[Nombres appareils installés]]</f>
        <v>2200</v>
      </c>
      <c r="O177" s="192">
        <f>(Tableau4[[#This Row],[AF accordée ($)]])/($J$6*D177)</f>
        <v>0.54953289703751806</v>
      </c>
      <c r="P177" s="192">
        <f>Tableau4[[#This Row],[Couverture 0 (%)]]*Tableau4[[#This Row],[Nombres appareils installés]]</f>
        <v>1.6485986911125541</v>
      </c>
      <c r="Q177" s="189">
        <f>($Q$4+$R$4*(Tableau4[[#This Row],[Capacité (BTU)]]/1000))*Tableau4[[#This Row],[Nombres appareils installés]]</f>
        <v>9900</v>
      </c>
      <c r="R177" s="189">
        <f>Tableau4[[#This Row],[AF 1 ($)]]/Tableau4[[#This Row],[Nombres appareils installés]]</f>
        <v>3300</v>
      </c>
      <c r="S177" s="192">
        <f>Tableau4[[#This Row],[AF 1 ($)]]/(J177*D177)</f>
        <v>0.55598611719513436</v>
      </c>
      <c r="T177" s="192">
        <f>Tableau4[[#This Row],[Couverture 1 (%)]]*Tableau4[[#This Row],[Nombres appareils installés]]</f>
        <v>1.6679583515854031</v>
      </c>
      <c r="U177" s="189">
        <f>($U$4+($V$4*(Tableau4[[#This Row],[Capacité (BTU)]]/1000)))*Tableau4[[#This Row],[Nombres appareils installés]]</f>
        <v>11850</v>
      </c>
      <c r="V177" s="189">
        <f>Tableau4[[#This Row],[AF 2 ($)]]/Tableau4[[#This Row],[Nombres appareils installés]]</f>
        <v>3950</v>
      </c>
      <c r="W177" s="193">
        <f>Tableau4[[#This Row],[AF 2 par appareil ($)]]/Tableau4[[#This Row],[Surcoût par appareil ($)]]</f>
        <v>0.66549853421841831</v>
      </c>
      <c r="X177" s="193">
        <f>Tableau4[[#This Row],[Couverture 2 (%)]]*Tableau4[[#This Row],[Nombres appareils installés]]</f>
        <v>1.9964956026552549</v>
      </c>
      <c r="Y177" s="189">
        <f>($Y$4+$Z$4*(Tableau4[[#This Row],[Capacité (BTU)]]/1000))*Tableau4[[#This Row],[Nombres appareils installés]]</f>
        <v>11400</v>
      </c>
      <c r="Z177" s="189">
        <f>Tableau4[[#This Row],[AF 3 ($)]]/Tableau4[[#This Row],[Nombres appareils installés]]</f>
        <v>3800</v>
      </c>
      <c r="AA177" s="194">
        <f>Tableau4[[#This Row],[AF 3 par appareil ($)]]/Tableau4[[#This Row],[Surcoût par appareil ($)]]</f>
        <v>0.64022643798227585</v>
      </c>
      <c r="AB177" s="194">
        <f>Tableau4[[#This Row],[Couverture 3 (%)]]*Tableau4[[#This Row],[Nombres appareils installés]]</f>
        <v>1.9206793139468274</v>
      </c>
      <c r="AC177" s="189">
        <f>($AC$4+$AD$4*(Tableau4[[#This Row],[Capacité (BTU)]]/1000))*Tableau4[[#This Row],[Nombres appareils installés]]</f>
        <v>9720</v>
      </c>
      <c r="AD177" s="189">
        <f>Tableau4[[#This Row],[AF 4 ($)]]/Tableau4[[#This Row],[Nombres appareils installés]]</f>
        <v>3240</v>
      </c>
      <c r="AE177" s="195">
        <f>Tableau4[[#This Row],[Couverture 4 (%)]]*Tableau4[[#This Row],[Nombres appareils installés]]</f>
        <v>1.6376318361020321</v>
      </c>
      <c r="AF177" s="194">
        <f>Tableau4[[#This Row],[AF 4 par appareil  ($)]]/Tableau4[[#This Row],[Surcoût par appareil ($)]]</f>
        <v>0.54587727870067737</v>
      </c>
    </row>
    <row r="178" spans="2:32" x14ac:dyDescent="0.3">
      <c r="B178" s="198" t="s">
        <v>319</v>
      </c>
      <c r="C178" s="189" t="s">
        <v>216</v>
      </c>
      <c r="D178" s="198">
        <v>3</v>
      </c>
      <c r="E178" s="198">
        <v>260000</v>
      </c>
      <c r="F178" s="199">
        <f>Tableau4[[#This Row],[Economies totales (m3)]]/Tableau4[[#This Row],[Nombres appareils installés]]</f>
        <v>1313</v>
      </c>
      <c r="G178" s="198">
        <v>3939</v>
      </c>
      <c r="H178" s="189">
        <f t="shared" si="4"/>
        <v>3535.3999999999996</v>
      </c>
      <c r="I178" s="189">
        <v>2400</v>
      </c>
      <c r="J178" s="189">
        <f>Tableau4[[#This Row],[Surcoût moyens de l''équipement ($)]]+Tableau4[[#This Row],[Surcoût moyen de l''installation ($)]]</f>
        <v>5935.4</v>
      </c>
      <c r="K178" s="189">
        <f>Tableau4[[#This Row],[Surcoût par appareil ($)]]*Tableau4[[#This Row],[Nombres appareils installés]]</f>
        <v>17806.199999999997</v>
      </c>
      <c r="L178" s="198">
        <v>6600</v>
      </c>
      <c r="M178" s="189">
        <f t="shared" si="5"/>
        <v>6600</v>
      </c>
      <c r="N178" s="189">
        <f>Tableau4[[#This Row],[AF 0 ($)]]/Tableau4[[#This Row],[Nombres appareils installés]]</f>
        <v>2200</v>
      </c>
      <c r="O178" s="192">
        <f>(Tableau4[[#This Row],[AF accordée ($)]])/($J$6*D178)</f>
        <v>0.54953289703751806</v>
      </c>
      <c r="P178" s="192">
        <f>Tableau4[[#This Row],[Couverture 0 (%)]]*Tableau4[[#This Row],[Nombres appareils installés]]</f>
        <v>1.6485986911125541</v>
      </c>
      <c r="Q178" s="189">
        <f>($Q$4+$R$4*(Tableau4[[#This Row],[Capacité (BTU)]]/1000))*Tableau4[[#This Row],[Nombres appareils installés]]</f>
        <v>9900</v>
      </c>
      <c r="R178" s="189">
        <f>Tableau4[[#This Row],[AF 1 ($)]]/Tableau4[[#This Row],[Nombres appareils installés]]</f>
        <v>3300</v>
      </c>
      <c r="S178" s="192">
        <f>Tableau4[[#This Row],[AF 1 ($)]]/(J178*D178)</f>
        <v>0.55598611719513436</v>
      </c>
      <c r="T178" s="192">
        <f>Tableau4[[#This Row],[Couverture 1 (%)]]*Tableau4[[#This Row],[Nombres appareils installés]]</f>
        <v>1.6679583515854031</v>
      </c>
      <c r="U178" s="189">
        <f>($U$4+($V$4*(Tableau4[[#This Row],[Capacité (BTU)]]/1000)))*Tableau4[[#This Row],[Nombres appareils installés]]</f>
        <v>11850</v>
      </c>
      <c r="V178" s="189">
        <f>Tableau4[[#This Row],[AF 2 ($)]]/Tableau4[[#This Row],[Nombres appareils installés]]</f>
        <v>3950</v>
      </c>
      <c r="W178" s="193">
        <f>Tableau4[[#This Row],[AF 2 par appareil ($)]]/Tableau4[[#This Row],[Surcoût par appareil ($)]]</f>
        <v>0.66549853421841831</v>
      </c>
      <c r="X178" s="193">
        <f>Tableau4[[#This Row],[Couverture 2 (%)]]*Tableau4[[#This Row],[Nombres appareils installés]]</f>
        <v>1.9964956026552549</v>
      </c>
      <c r="Y178" s="189">
        <f>($Y$4+$Z$4*(Tableau4[[#This Row],[Capacité (BTU)]]/1000))*Tableau4[[#This Row],[Nombres appareils installés]]</f>
        <v>11400</v>
      </c>
      <c r="Z178" s="189">
        <f>Tableau4[[#This Row],[AF 3 ($)]]/Tableau4[[#This Row],[Nombres appareils installés]]</f>
        <v>3800</v>
      </c>
      <c r="AA178" s="194">
        <f>Tableau4[[#This Row],[AF 3 par appareil ($)]]/Tableau4[[#This Row],[Surcoût par appareil ($)]]</f>
        <v>0.64022643798227585</v>
      </c>
      <c r="AB178" s="194">
        <f>Tableau4[[#This Row],[Couverture 3 (%)]]*Tableau4[[#This Row],[Nombres appareils installés]]</f>
        <v>1.9206793139468274</v>
      </c>
      <c r="AC178" s="189">
        <f>($AC$4+$AD$4*(Tableau4[[#This Row],[Capacité (BTU)]]/1000))*Tableau4[[#This Row],[Nombres appareils installés]]</f>
        <v>9720</v>
      </c>
      <c r="AD178" s="189">
        <f>Tableau4[[#This Row],[AF 4 ($)]]/Tableau4[[#This Row],[Nombres appareils installés]]</f>
        <v>3240</v>
      </c>
      <c r="AE178" s="195">
        <f>Tableau4[[#This Row],[Couverture 4 (%)]]*Tableau4[[#This Row],[Nombres appareils installés]]</f>
        <v>1.6376318361020321</v>
      </c>
      <c r="AF178" s="194">
        <f>Tableau4[[#This Row],[AF 4 par appareil  ($)]]/Tableau4[[#This Row],[Surcoût par appareil ($)]]</f>
        <v>0.54587727870067737</v>
      </c>
    </row>
    <row r="179" spans="2:32" x14ac:dyDescent="0.3">
      <c r="B179" s="189" t="s">
        <v>319</v>
      </c>
      <c r="C179" s="189" t="s">
        <v>216</v>
      </c>
      <c r="D179" s="189">
        <v>3</v>
      </c>
      <c r="E179" s="189">
        <v>260000</v>
      </c>
      <c r="F179" s="197">
        <f>Tableau4[[#This Row],[Economies totales (m3)]]/Tableau4[[#This Row],[Nombres appareils installés]]</f>
        <v>1313</v>
      </c>
      <c r="G179" s="189">
        <v>3939</v>
      </c>
      <c r="H179" s="189">
        <f t="shared" si="4"/>
        <v>3535.3999999999996</v>
      </c>
      <c r="I179" s="189">
        <v>2400</v>
      </c>
      <c r="J179" s="189">
        <f>Tableau4[[#This Row],[Surcoût moyens de l''équipement ($)]]+Tableau4[[#This Row],[Surcoût moyen de l''installation ($)]]</f>
        <v>5935.4</v>
      </c>
      <c r="K179" s="189">
        <f>Tableau4[[#This Row],[Surcoût par appareil ($)]]*Tableau4[[#This Row],[Nombres appareils installés]]</f>
        <v>17806.199999999997</v>
      </c>
      <c r="L179" s="189">
        <v>6600</v>
      </c>
      <c r="M179" s="189">
        <f t="shared" si="5"/>
        <v>6600</v>
      </c>
      <c r="N179" s="189">
        <f>Tableau4[[#This Row],[AF 0 ($)]]/Tableau4[[#This Row],[Nombres appareils installés]]</f>
        <v>2200</v>
      </c>
      <c r="O179" s="192">
        <f>(Tableau4[[#This Row],[AF accordée ($)]])/($J$6*D179)</f>
        <v>0.54953289703751806</v>
      </c>
      <c r="P179" s="192">
        <f>Tableau4[[#This Row],[Couverture 0 (%)]]*Tableau4[[#This Row],[Nombres appareils installés]]</f>
        <v>1.6485986911125541</v>
      </c>
      <c r="Q179" s="189">
        <f>($Q$4+$R$4*(Tableau4[[#This Row],[Capacité (BTU)]]/1000))*Tableau4[[#This Row],[Nombres appareils installés]]</f>
        <v>9900</v>
      </c>
      <c r="R179" s="189">
        <f>Tableau4[[#This Row],[AF 1 ($)]]/Tableau4[[#This Row],[Nombres appareils installés]]</f>
        <v>3300</v>
      </c>
      <c r="S179" s="192">
        <f>Tableau4[[#This Row],[AF 1 ($)]]/(J179*D179)</f>
        <v>0.55598611719513436</v>
      </c>
      <c r="T179" s="192">
        <f>Tableau4[[#This Row],[Couverture 1 (%)]]*Tableau4[[#This Row],[Nombres appareils installés]]</f>
        <v>1.6679583515854031</v>
      </c>
      <c r="U179" s="189">
        <f>($U$4+($V$4*(Tableau4[[#This Row],[Capacité (BTU)]]/1000)))*Tableau4[[#This Row],[Nombres appareils installés]]</f>
        <v>11850</v>
      </c>
      <c r="V179" s="189">
        <f>Tableau4[[#This Row],[AF 2 ($)]]/Tableau4[[#This Row],[Nombres appareils installés]]</f>
        <v>3950</v>
      </c>
      <c r="W179" s="193">
        <f>Tableau4[[#This Row],[AF 2 par appareil ($)]]/Tableau4[[#This Row],[Surcoût par appareil ($)]]</f>
        <v>0.66549853421841831</v>
      </c>
      <c r="X179" s="193">
        <f>Tableau4[[#This Row],[Couverture 2 (%)]]*Tableau4[[#This Row],[Nombres appareils installés]]</f>
        <v>1.9964956026552549</v>
      </c>
      <c r="Y179" s="189">
        <f>($Y$4+$Z$4*(Tableau4[[#This Row],[Capacité (BTU)]]/1000))*Tableau4[[#This Row],[Nombres appareils installés]]</f>
        <v>11400</v>
      </c>
      <c r="Z179" s="189">
        <f>Tableau4[[#This Row],[AF 3 ($)]]/Tableau4[[#This Row],[Nombres appareils installés]]</f>
        <v>3800</v>
      </c>
      <c r="AA179" s="194">
        <f>Tableau4[[#This Row],[AF 3 par appareil ($)]]/Tableau4[[#This Row],[Surcoût par appareil ($)]]</f>
        <v>0.64022643798227585</v>
      </c>
      <c r="AB179" s="194">
        <f>Tableau4[[#This Row],[Couverture 3 (%)]]*Tableau4[[#This Row],[Nombres appareils installés]]</f>
        <v>1.9206793139468274</v>
      </c>
      <c r="AC179" s="189">
        <f>($AC$4+$AD$4*(Tableau4[[#This Row],[Capacité (BTU)]]/1000))*Tableau4[[#This Row],[Nombres appareils installés]]</f>
        <v>9720</v>
      </c>
      <c r="AD179" s="189">
        <f>Tableau4[[#This Row],[AF 4 ($)]]/Tableau4[[#This Row],[Nombres appareils installés]]</f>
        <v>3240</v>
      </c>
      <c r="AE179" s="195">
        <f>Tableau4[[#This Row],[Couverture 4 (%)]]*Tableau4[[#This Row],[Nombres appareils installés]]</f>
        <v>1.6376318361020321</v>
      </c>
      <c r="AF179" s="194">
        <f>Tableau4[[#This Row],[AF 4 par appareil  ($)]]/Tableau4[[#This Row],[Surcoût par appareil ($)]]</f>
        <v>0.54587727870067737</v>
      </c>
    </row>
    <row r="180" spans="2:32" x14ac:dyDescent="0.3">
      <c r="B180" s="198" t="s">
        <v>319</v>
      </c>
      <c r="C180" s="189" t="s">
        <v>216</v>
      </c>
      <c r="D180" s="198">
        <v>4</v>
      </c>
      <c r="E180" s="198">
        <v>260000</v>
      </c>
      <c r="F180" s="199">
        <f>Tableau4[[#This Row],[Economies totales (m3)]]/Tableau4[[#This Row],[Nombres appareils installés]]</f>
        <v>1313</v>
      </c>
      <c r="G180" s="198">
        <v>5252</v>
      </c>
      <c r="H180" s="189">
        <f t="shared" si="4"/>
        <v>3535.3999999999996</v>
      </c>
      <c r="I180" s="189">
        <v>2400</v>
      </c>
      <c r="J180" s="189">
        <f>Tableau4[[#This Row],[Surcoût moyens de l''équipement ($)]]+Tableau4[[#This Row],[Surcoût moyen de l''installation ($)]]</f>
        <v>5935.4</v>
      </c>
      <c r="K180" s="189">
        <f>Tableau4[[#This Row],[Surcoût par appareil ($)]]*Tableau4[[#This Row],[Nombres appareils installés]]</f>
        <v>23741.599999999999</v>
      </c>
      <c r="L180" s="198">
        <v>8800</v>
      </c>
      <c r="M180" s="189">
        <f t="shared" si="5"/>
        <v>8800</v>
      </c>
      <c r="N180" s="189">
        <f>Tableau4[[#This Row],[AF 0 ($)]]/Tableau4[[#This Row],[Nombres appareils installés]]</f>
        <v>2200</v>
      </c>
      <c r="O180" s="192">
        <f>(Tableau4[[#This Row],[AF accordée ($)]])/($J$6*D180)</f>
        <v>0.54953289703751806</v>
      </c>
      <c r="P180" s="192">
        <f>Tableau4[[#This Row],[Couverture 0 (%)]]*Tableau4[[#This Row],[Nombres appareils installés]]</f>
        <v>2.1981315881500723</v>
      </c>
      <c r="Q180" s="189">
        <f>($Q$4+$R$4*(Tableau4[[#This Row],[Capacité (BTU)]]/1000))*Tableau4[[#This Row],[Nombres appareils installés]]</f>
        <v>13200</v>
      </c>
      <c r="R180" s="189">
        <f>Tableau4[[#This Row],[AF 1 ($)]]/Tableau4[[#This Row],[Nombres appareils installés]]</f>
        <v>3300</v>
      </c>
      <c r="S180" s="192">
        <f>Tableau4[[#This Row],[AF 1 ($)]]/(J180*D180)</f>
        <v>0.55598611719513436</v>
      </c>
      <c r="T180" s="192">
        <f>Tableau4[[#This Row],[Couverture 1 (%)]]*Tableau4[[#This Row],[Nombres appareils installés]]</f>
        <v>2.2239444687805374</v>
      </c>
      <c r="U180" s="189">
        <f>($U$4+($V$4*(Tableau4[[#This Row],[Capacité (BTU)]]/1000)))*Tableau4[[#This Row],[Nombres appareils installés]]</f>
        <v>15800</v>
      </c>
      <c r="V180" s="189">
        <f>Tableau4[[#This Row],[AF 2 ($)]]/Tableau4[[#This Row],[Nombres appareils installés]]</f>
        <v>3950</v>
      </c>
      <c r="W180" s="193">
        <f>Tableau4[[#This Row],[AF 2 par appareil ($)]]/Tableau4[[#This Row],[Surcoût par appareil ($)]]</f>
        <v>0.66549853421841831</v>
      </c>
      <c r="X180" s="193">
        <f>Tableau4[[#This Row],[Couverture 2 (%)]]*Tableau4[[#This Row],[Nombres appareils installés]]</f>
        <v>2.6619941368736733</v>
      </c>
      <c r="Y180" s="189">
        <f>($Y$4+$Z$4*(Tableau4[[#This Row],[Capacité (BTU)]]/1000))*Tableau4[[#This Row],[Nombres appareils installés]]</f>
        <v>15200</v>
      </c>
      <c r="Z180" s="189">
        <f>Tableau4[[#This Row],[AF 3 ($)]]/Tableau4[[#This Row],[Nombres appareils installés]]</f>
        <v>3800</v>
      </c>
      <c r="AA180" s="194">
        <f>Tableau4[[#This Row],[AF 3 par appareil ($)]]/Tableau4[[#This Row],[Surcoût par appareil ($)]]</f>
        <v>0.64022643798227585</v>
      </c>
      <c r="AB180" s="194">
        <f>Tableau4[[#This Row],[Couverture 3 (%)]]*Tableau4[[#This Row],[Nombres appareils installés]]</f>
        <v>2.5609057519291034</v>
      </c>
      <c r="AC180" s="189">
        <f>($AC$4+$AD$4*(Tableau4[[#This Row],[Capacité (BTU)]]/1000))*Tableau4[[#This Row],[Nombres appareils installés]]</f>
        <v>12960</v>
      </c>
      <c r="AD180" s="189">
        <f>Tableau4[[#This Row],[AF 4 ($)]]/Tableau4[[#This Row],[Nombres appareils installés]]</f>
        <v>3240</v>
      </c>
      <c r="AE180" s="195">
        <f>Tableau4[[#This Row],[Couverture 4 (%)]]*Tableau4[[#This Row],[Nombres appareils installés]]</f>
        <v>2.1835091148027095</v>
      </c>
      <c r="AF180" s="194">
        <f>Tableau4[[#This Row],[AF 4 par appareil  ($)]]/Tableau4[[#This Row],[Surcoût par appareil ($)]]</f>
        <v>0.54587727870067737</v>
      </c>
    </row>
    <row r="181" spans="2:32" x14ac:dyDescent="0.3">
      <c r="B181" s="189" t="s">
        <v>319</v>
      </c>
      <c r="C181" s="189" t="s">
        <v>216</v>
      </c>
      <c r="D181" s="189">
        <v>5</v>
      </c>
      <c r="E181" s="189">
        <v>260000</v>
      </c>
      <c r="F181" s="197">
        <f>Tableau4[[#This Row],[Economies totales (m3)]]/Tableau4[[#This Row],[Nombres appareils installés]]</f>
        <v>1313</v>
      </c>
      <c r="G181" s="189">
        <v>6565</v>
      </c>
      <c r="H181" s="189">
        <f t="shared" si="4"/>
        <v>3535.3999999999996</v>
      </c>
      <c r="I181" s="189">
        <v>2400</v>
      </c>
      <c r="J181" s="189">
        <f>Tableau4[[#This Row],[Surcoût moyens de l''équipement ($)]]+Tableau4[[#This Row],[Surcoût moyen de l''installation ($)]]</f>
        <v>5935.4</v>
      </c>
      <c r="K181" s="189">
        <f>Tableau4[[#This Row],[Surcoût par appareil ($)]]*Tableau4[[#This Row],[Nombres appareils installés]]</f>
        <v>29677</v>
      </c>
      <c r="L181" s="189">
        <v>11000</v>
      </c>
      <c r="M181" s="189">
        <f t="shared" si="5"/>
        <v>11000</v>
      </c>
      <c r="N181" s="189">
        <f>Tableau4[[#This Row],[AF 0 ($)]]/Tableau4[[#This Row],[Nombres appareils installés]]</f>
        <v>2200</v>
      </c>
      <c r="O181" s="192">
        <f>(Tableau4[[#This Row],[AF accordée ($)]])/($J$6*D181)</f>
        <v>0.54953289703751806</v>
      </c>
      <c r="P181" s="192">
        <f>Tableau4[[#This Row],[Couverture 0 (%)]]*Tableau4[[#This Row],[Nombres appareils installés]]</f>
        <v>2.7476644851875904</v>
      </c>
      <c r="Q181" s="189">
        <f>($Q$4+$R$4*(Tableau4[[#This Row],[Capacité (BTU)]]/1000))*Tableau4[[#This Row],[Nombres appareils installés]]</f>
        <v>16500</v>
      </c>
      <c r="R181" s="189">
        <f>Tableau4[[#This Row],[AF 1 ($)]]/Tableau4[[#This Row],[Nombres appareils installés]]</f>
        <v>3300</v>
      </c>
      <c r="S181" s="192">
        <f>Tableau4[[#This Row],[AF 1 ($)]]/(J181*D181)</f>
        <v>0.55598611719513424</v>
      </c>
      <c r="T181" s="192">
        <f>Tableau4[[#This Row],[Couverture 1 (%)]]*Tableau4[[#This Row],[Nombres appareils installés]]</f>
        <v>2.7799305859756713</v>
      </c>
      <c r="U181" s="189">
        <f>($U$4+($V$4*(Tableau4[[#This Row],[Capacité (BTU)]]/1000)))*Tableau4[[#This Row],[Nombres appareils installés]]</f>
        <v>19750</v>
      </c>
      <c r="V181" s="189">
        <f>Tableau4[[#This Row],[AF 2 ($)]]/Tableau4[[#This Row],[Nombres appareils installés]]</f>
        <v>3950</v>
      </c>
      <c r="W181" s="193">
        <f>Tableau4[[#This Row],[AF 2 par appareil ($)]]/Tableau4[[#This Row],[Surcoût par appareil ($)]]</f>
        <v>0.66549853421841831</v>
      </c>
      <c r="X181" s="193">
        <f>Tableau4[[#This Row],[Couverture 2 (%)]]*Tableau4[[#This Row],[Nombres appareils installés]]</f>
        <v>3.3274926710920916</v>
      </c>
      <c r="Y181" s="189">
        <f>($Y$4+$Z$4*(Tableau4[[#This Row],[Capacité (BTU)]]/1000))*Tableau4[[#This Row],[Nombres appareils installés]]</f>
        <v>19000</v>
      </c>
      <c r="Z181" s="189">
        <f>Tableau4[[#This Row],[AF 3 ($)]]/Tableau4[[#This Row],[Nombres appareils installés]]</f>
        <v>3800</v>
      </c>
      <c r="AA181" s="194">
        <f>Tableau4[[#This Row],[AF 3 par appareil ($)]]/Tableau4[[#This Row],[Surcoût par appareil ($)]]</f>
        <v>0.64022643798227585</v>
      </c>
      <c r="AB181" s="194">
        <f>Tableau4[[#This Row],[Couverture 3 (%)]]*Tableau4[[#This Row],[Nombres appareils installés]]</f>
        <v>3.2011321899113794</v>
      </c>
      <c r="AC181" s="189">
        <f>($AC$4+$AD$4*(Tableau4[[#This Row],[Capacité (BTU)]]/1000))*Tableau4[[#This Row],[Nombres appareils installés]]</f>
        <v>16200</v>
      </c>
      <c r="AD181" s="189">
        <f>Tableau4[[#This Row],[AF 4 ($)]]/Tableau4[[#This Row],[Nombres appareils installés]]</f>
        <v>3240</v>
      </c>
      <c r="AE181" s="195">
        <f>Tableau4[[#This Row],[Couverture 4 (%)]]*Tableau4[[#This Row],[Nombres appareils installés]]</f>
        <v>2.7293863935033871</v>
      </c>
      <c r="AF181" s="194">
        <f>Tableau4[[#This Row],[AF 4 par appareil  ($)]]/Tableau4[[#This Row],[Surcoût par appareil ($)]]</f>
        <v>0.54587727870067737</v>
      </c>
    </row>
    <row r="182" spans="2:32" x14ac:dyDescent="0.3">
      <c r="B182" s="189" t="s">
        <v>319</v>
      </c>
      <c r="C182" s="189" t="s">
        <v>216</v>
      </c>
      <c r="D182" s="189">
        <v>1</v>
      </c>
      <c r="E182" s="189">
        <v>310000</v>
      </c>
      <c r="F182" s="197">
        <f>Tableau4[[#This Row],[Economies totales (m3)]]/Tableau4[[#This Row],[Nombres appareils installés]]</f>
        <v>1565.5</v>
      </c>
      <c r="G182" s="189">
        <v>1565.5</v>
      </c>
      <c r="H182" s="189">
        <f t="shared" si="4"/>
        <v>4385.3999999999996</v>
      </c>
      <c r="I182" s="189">
        <v>2400</v>
      </c>
      <c r="J182" s="189">
        <f>Tableau4[[#This Row],[Surcoût moyens de l''équipement ($)]]+Tableau4[[#This Row],[Surcoût moyen de l''installation ($)]]</f>
        <v>6785.4</v>
      </c>
      <c r="K182" s="189">
        <f>Tableau4[[#This Row],[Surcoût par appareil ($)]]*Tableau4[[#This Row],[Nombres appareils installés]]</f>
        <v>6785.4</v>
      </c>
      <c r="L182" s="189">
        <v>2450</v>
      </c>
      <c r="M182" s="189">
        <f t="shared" si="5"/>
        <v>2450</v>
      </c>
      <c r="N182" s="189">
        <f>Tableau4[[#This Row],[AF 0 ($)]]/Tableau4[[#This Row],[Nombres appareils installés]]</f>
        <v>2450</v>
      </c>
      <c r="O182" s="192">
        <f>(Tableau4[[#This Row],[AF accordée ($)]])/($J$6*D182)</f>
        <v>0.61197981715541783</v>
      </c>
      <c r="P182" s="192">
        <f>Tableau4[[#This Row],[Couverture 0 (%)]]*Tableau4[[#This Row],[Nombres appareils installés]]</f>
        <v>0.61197981715541783</v>
      </c>
      <c r="Q182" s="189">
        <f>($Q$4+$R$4*(Tableau4[[#This Row],[Capacité (BTU)]]/1000))*Tableau4[[#This Row],[Nombres appareils installés]]</f>
        <v>3550</v>
      </c>
      <c r="R182" s="189">
        <f>Tableau4[[#This Row],[AF 1 ($)]]/Tableau4[[#This Row],[Nombres appareils installés]]</f>
        <v>3550</v>
      </c>
      <c r="S182" s="192">
        <f>Tableau4[[#This Row],[AF 1 ($)]]/(J182*D182)</f>
        <v>0.52318212633006167</v>
      </c>
      <c r="T182" s="192">
        <f>Tableau4[[#This Row],[Couverture 1 (%)]]*Tableau4[[#This Row],[Nombres appareils installés]]</f>
        <v>0.52318212633006167</v>
      </c>
      <c r="U182" s="189">
        <f>($U$4+($V$4*(Tableau4[[#This Row],[Capacité (BTU)]]/1000)))*Tableau4[[#This Row],[Nombres appareils installés]]</f>
        <v>4325</v>
      </c>
      <c r="V182" s="189">
        <f>Tableau4[[#This Row],[AF 2 ($)]]/Tableau4[[#This Row],[Nombres appareils installés]]</f>
        <v>4325</v>
      </c>
      <c r="W182" s="193">
        <f>Tableau4[[#This Row],[AF 2 par appareil ($)]]/Tableau4[[#This Row],[Surcoût par appareil ($)]]</f>
        <v>0.63739794264155392</v>
      </c>
      <c r="X182" s="193">
        <f>Tableau4[[#This Row],[Couverture 2 (%)]]*Tableau4[[#This Row],[Nombres appareils installés]]</f>
        <v>0.63739794264155392</v>
      </c>
      <c r="Y182" s="189">
        <f>($Y$4+$Z$4*(Tableau4[[#This Row],[Capacité (BTU)]]/1000))*Tableau4[[#This Row],[Nombres appareils installés]]</f>
        <v>4050</v>
      </c>
      <c r="Z182" s="189">
        <f>Tableau4[[#This Row],[AF 3 ($)]]/Tableau4[[#This Row],[Nombres appareils installés]]</f>
        <v>4050</v>
      </c>
      <c r="AA182" s="194">
        <f>Tableau4[[#This Row],[AF 3 par appareil ($)]]/Tableau4[[#This Row],[Surcoût par appareil ($)]]</f>
        <v>0.59686974975683083</v>
      </c>
      <c r="AB182" s="194">
        <f>Tableau4[[#This Row],[Couverture 3 (%)]]*Tableau4[[#This Row],[Nombres appareils installés]]</f>
        <v>0.59686974975683083</v>
      </c>
      <c r="AC182" s="189">
        <f>($AC$4+$AD$4*(Tableau4[[#This Row],[Capacité (BTU)]]/1000))*Tableau4[[#This Row],[Nombres appareils installés]]</f>
        <v>3440</v>
      </c>
      <c r="AD182" s="189">
        <f>Tableau4[[#This Row],[AF 4 ($)]]/Tableau4[[#This Row],[Nombres appareils installés]]</f>
        <v>3440</v>
      </c>
      <c r="AE182" s="195">
        <f>Tableau4[[#This Row],[Couverture 4 (%)]]*Tableau4[[#This Row],[Nombres appareils installés]]</f>
        <v>0.50697084917617241</v>
      </c>
      <c r="AF182" s="194">
        <f>Tableau4[[#This Row],[AF 4 par appareil  ($)]]/Tableau4[[#This Row],[Surcoût par appareil ($)]]</f>
        <v>0.50697084917617241</v>
      </c>
    </row>
    <row r="183" spans="2:32" x14ac:dyDescent="0.3">
      <c r="B183" s="198" t="s">
        <v>319</v>
      </c>
      <c r="C183" s="189" t="s">
        <v>216</v>
      </c>
      <c r="D183" s="198">
        <v>1</v>
      </c>
      <c r="E183" s="198">
        <v>310000</v>
      </c>
      <c r="F183" s="199">
        <f>Tableau4[[#This Row],[Economies totales (m3)]]/Tableau4[[#This Row],[Nombres appareils installés]]</f>
        <v>1565.5</v>
      </c>
      <c r="G183" s="198">
        <v>1565.5</v>
      </c>
      <c r="H183" s="189">
        <f t="shared" si="4"/>
        <v>4385.3999999999996</v>
      </c>
      <c r="I183" s="189">
        <v>2400</v>
      </c>
      <c r="J183" s="189">
        <f>Tableau4[[#This Row],[Surcoût moyens de l''équipement ($)]]+Tableau4[[#This Row],[Surcoût moyen de l''installation ($)]]</f>
        <v>6785.4</v>
      </c>
      <c r="K183" s="189">
        <f>Tableau4[[#This Row],[Surcoût par appareil ($)]]*Tableau4[[#This Row],[Nombres appareils installés]]</f>
        <v>6785.4</v>
      </c>
      <c r="L183" s="198">
        <v>2450</v>
      </c>
      <c r="M183" s="189">
        <f t="shared" si="5"/>
        <v>2450</v>
      </c>
      <c r="N183" s="189">
        <f>Tableau4[[#This Row],[AF 0 ($)]]/Tableau4[[#This Row],[Nombres appareils installés]]</f>
        <v>2450</v>
      </c>
      <c r="O183" s="192">
        <f>(Tableau4[[#This Row],[AF accordée ($)]])/($J$6*D183)</f>
        <v>0.61197981715541783</v>
      </c>
      <c r="P183" s="192">
        <f>Tableau4[[#This Row],[Couverture 0 (%)]]*Tableau4[[#This Row],[Nombres appareils installés]]</f>
        <v>0.61197981715541783</v>
      </c>
      <c r="Q183" s="189">
        <f>($Q$4+$R$4*(Tableau4[[#This Row],[Capacité (BTU)]]/1000))*Tableau4[[#This Row],[Nombres appareils installés]]</f>
        <v>3550</v>
      </c>
      <c r="R183" s="189">
        <f>Tableau4[[#This Row],[AF 1 ($)]]/Tableau4[[#This Row],[Nombres appareils installés]]</f>
        <v>3550</v>
      </c>
      <c r="S183" s="192">
        <f>Tableau4[[#This Row],[AF 1 ($)]]/(J183*D183)</f>
        <v>0.52318212633006167</v>
      </c>
      <c r="T183" s="192">
        <f>Tableau4[[#This Row],[Couverture 1 (%)]]*Tableau4[[#This Row],[Nombres appareils installés]]</f>
        <v>0.52318212633006167</v>
      </c>
      <c r="U183" s="189">
        <f>($U$4+($V$4*(Tableau4[[#This Row],[Capacité (BTU)]]/1000)))*Tableau4[[#This Row],[Nombres appareils installés]]</f>
        <v>4325</v>
      </c>
      <c r="V183" s="189">
        <f>Tableau4[[#This Row],[AF 2 ($)]]/Tableau4[[#This Row],[Nombres appareils installés]]</f>
        <v>4325</v>
      </c>
      <c r="W183" s="193">
        <f>Tableau4[[#This Row],[AF 2 par appareil ($)]]/Tableau4[[#This Row],[Surcoût par appareil ($)]]</f>
        <v>0.63739794264155392</v>
      </c>
      <c r="X183" s="193">
        <f>Tableau4[[#This Row],[Couverture 2 (%)]]*Tableau4[[#This Row],[Nombres appareils installés]]</f>
        <v>0.63739794264155392</v>
      </c>
      <c r="Y183" s="189">
        <f>($Y$4+$Z$4*(Tableau4[[#This Row],[Capacité (BTU)]]/1000))*Tableau4[[#This Row],[Nombres appareils installés]]</f>
        <v>4050</v>
      </c>
      <c r="Z183" s="189">
        <f>Tableau4[[#This Row],[AF 3 ($)]]/Tableau4[[#This Row],[Nombres appareils installés]]</f>
        <v>4050</v>
      </c>
      <c r="AA183" s="194">
        <f>Tableau4[[#This Row],[AF 3 par appareil ($)]]/Tableau4[[#This Row],[Surcoût par appareil ($)]]</f>
        <v>0.59686974975683083</v>
      </c>
      <c r="AB183" s="194">
        <f>Tableau4[[#This Row],[Couverture 3 (%)]]*Tableau4[[#This Row],[Nombres appareils installés]]</f>
        <v>0.59686974975683083</v>
      </c>
      <c r="AC183" s="189">
        <f>($AC$4+$AD$4*(Tableau4[[#This Row],[Capacité (BTU)]]/1000))*Tableau4[[#This Row],[Nombres appareils installés]]</f>
        <v>3440</v>
      </c>
      <c r="AD183" s="189">
        <f>Tableau4[[#This Row],[AF 4 ($)]]/Tableau4[[#This Row],[Nombres appareils installés]]</f>
        <v>3440</v>
      </c>
      <c r="AE183" s="195">
        <f>Tableau4[[#This Row],[Couverture 4 (%)]]*Tableau4[[#This Row],[Nombres appareils installés]]</f>
        <v>0.50697084917617241</v>
      </c>
      <c r="AF183" s="194">
        <f>Tableau4[[#This Row],[AF 4 par appareil  ($)]]/Tableau4[[#This Row],[Surcoût par appareil ($)]]</f>
        <v>0.50697084917617241</v>
      </c>
    </row>
    <row r="184" spans="2:32" x14ac:dyDescent="0.3">
      <c r="B184" s="189" t="s">
        <v>319</v>
      </c>
      <c r="C184" s="189" t="s">
        <v>216</v>
      </c>
      <c r="D184" s="189">
        <v>1</v>
      </c>
      <c r="E184" s="189">
        <v>310000</v>
      </c>
      <c r="F184" s="197">
        <f>Tableau4[[#This Row],[Economies totales (m3)]]/Tableau4[[#This Row],[Nombres appareils installés]]</f>
        <v>1565.5</v>
      </c>
      <c r="G184" s="189">
        <v>1565.5</v>
      </c>
      <c r="H184" s="189">
        <f t="shared" si="4"/>
        <v>4385.3999999999996</v>
      </c>
      <c r="I184" s="189">
        <v>2400</v>
      </c>
      <c r="J184" s="189">
        <f>Tableau4[[#This Row],[Surcoût moyens de l''équipement ($)]]+Tableau4[[#This Row],[Surcoût moyen de l''installation ($)]]</f>
        <v>6785.4</v>
      </c>
      <c r="K184" s="189">
        <f>Tableau4[[#This Row],[Surcoût par appareil ($)]]*Tableau4[[#This Row],[Nombres appareils installés]]</f>
        <v>6785.4</v>
      </c>
      <c r="L184" s="189">
        <v>2450</v>
      </c>
      <c r="M184" s="189">
        <f t="shared" si="5"/>
        <v>2450</v>
      </c>
      <c r="N184" s="189">
        <f>Tableau4[[#This Row],[AF 0 ($)]]/Tableau4[[#This Row],[Nombres appareils installés]]</f>
        <v>2450</v>
      </c>
      <c r="O184" s="192">
        <f>(Tableau4[[#This Row],[AF accordée ($)]])/($J$6*D184)</f>
        <v>0.61197981715541783</v>
      </c>
      <c r="P184" s="192">
        <f>Tableau4[[#This Row],[Couverture 0 (%)]]*Tableau4[[#This Row],[Nombres appareils installés]]</f>
        <v>0.61197981715541783</v>
      </c>
      <c r="Q184" s="189">
        <f>($Q$4+$R$4*(Tableau4[[#This Row],[Capacité (BTU)]]/1000))*Tableau4[[#This Row],[Nombres appareils installés]]</f>
        <v>3550</v>
      </c>
      <c r="R184" s="189">
        <f>Tableau4[[#This Row],[AF 1 ($)]]/Tableau4[[#This Row],[Nombres appareils installés]]</f>
        <v>3550</v>
      </c>
      <c r="S184" s="192">
        <f>Tableau4[[#This Row],[AF 1 ($)]]/(J184*D184)</f>
        <v>0.52318212633006167</v>
      </c>
      <c r="T184" s="192">
        <f>Tableau4[[#This Row],[Couverture 1 (%)]]*Tableau4[[#This Row],[Nombres appareils installés]]</f>
        <v>0.52318212633006167</v>
      </c>
      <c r="U184" s="189">
        <f>($U$4+($V$4*(Tableau4[[#This Row],[Capacité (BTU)]]/1000)))*Tableau4[[#This Row],[Nombres appareils installés]]</f>
        <v>4325</v>
      </c>
      <c r="V184" s="189">
        <f>Tableau4[[#This Row],[AF 2 ($)]]/Tableau4[[#This Row],[Nombres appareils installés]]</f>
        <v>4325</v>
      </c>
      <c r="W184" s="193">
        <f>Tableau4[[#This Row],[AF 2 par appareil ($)]]/Tableau4[[#This Row],[Surcoût par appareil ($)]]</f>
        <v>0.63739794264155392</v>
      </c>
      <c r="X184" s="193">
        <f>Tableau4[[#This Row],[Couverture 2 (%)]]*Tableau4[[#This Row],[Nombres appareils installés]]</f>
        <v>0.63739794264155392</v>
      </c>
      <c r="Y184" s="189">
        <f>($Y$4+$Z$4*(Tableau4[[#This Row],[Capacité (BTU)]]/1000))*Tableau4[[#This Row],[Nombres appareils installés]]</f>
        <v>4050</v>
      </c>
      <c r="Z184" s="189">
        <f>Tableau4[[#This Row],[AF 3 ($)]]/Tableau4[[#This Row],[Nombres appareils installés]]</f>
        <v>4050</v>
      </c>
      <c r="AA184" s="194">
        <f>Tableau4[[#This Row],[AF 3 par appareil ($)]]/Tableau4[[#This Row],[Surcoût par appareil ($)]]</f>
        <v>0.59686974975683083</v>
      </c>
      <c r="AB184" s="194">
        <f>Tableau4[[#This Row],[Couverture 3 (%)]]*Tableau4[[#This Row],[Nombres appareils installés]]</f>
        <v>0.59686974975683083</v>
      </c>
      <c r="AC184" s="189">
        <f>($AC$4+$AD$4*(Tableau4[[#This Row],[Capacité (BTU)]]/1000))*Tableau4[[#This Row],[Nombres appareils installés]]</f>
        <v>3440</v>
      </c>
      <c r="AD184" s="189">
        <f>Tableau4[[#This Row],[AF 4 ($)]]/Tableau4[[#This Row],[Nombres appareils installés]]</f>
        <v>3440</v>
      </c>
      <c r="AE184" s="195">
        <f>Tableau4[[#This Row],[Couverture 4 (%)]]*Tableau4[[#This Row],[Nombres appareils installés]]</f>
        <v>0.50697084917617241</v>
      </c>
      <c r="AF184" s="194">
        <f>Tableau4[[#This Row],[AF 4 par appareil  ($)]]/Tableau4[[#This Row],[Surcoût par appareil ($)]]</f>
        <v>0.50697084917617241</v>
      </c>
    </row>
    <row r="185" spans="2:32" x14ac:dyDescent="0.3">
      <c r="B185" s="189" t="s">
        <v>319</v>
      </c>
      <c r="C185" s="189" t="s">
        <v>216</v>
      </c>
      <c r="D185" s="189">
        <v>2</v>
      </c>
      <c r="E185" s="189">
        <v>310000</v>
      </c>
      <c r="F185" s="197">
        <f>Tableau4[[#This Row],[Economies totales (m3)]]/Tableau4[[#This Row],[Nombres appareils installés]]</f>
        <v>1565.5</v>
      </c>
      <c r="G185" s="189">
        <v>3131</v>
      </c>
      <c r="H185" s="189">
        <f t="shared" si="4"/>
        <v>4385.3999999999996</v>
      </c>
      <c r="I185" s="189">
        <v>2400</v>
      </c>
      <c r="J185" s="189">
        <f>Tableau4[[#This Row],[Surcoût moyens de l''équipement ($)]]+Tableau4[[#This Row],[Surcoût moyen de l''installation ($)]]</f>
        <v>6785.4</v>
      </c>
      <c r="K185" s="189">
        <f>Tableau4[[#This Row],[Surcoût par appareil ($)]]*Tableau4[[#This Row],[Nombres appareils installés]]</f>
        <v>13570.8</v>
      </c>
      <c r="L185" s="189">
        <v>4900</v>
      </c>
      <c r="M185" s="189">
        <f t="shared" si="5"/>
        <v>4900</v>
      </c>
      <c r="N185" s="189">
        <f>Tableau4[[#This Row],[AF 0 ($)]]/Tableau4[[#This Row],[Nombres appareils installés]]</f>
        <v>2450</v>
      </c>
      <c r="O185" s="192">
        <f>(Tableau4[[#This Row],[AF accordée ($)]])/($J$6*D185)</f>
        <v>0.61197981715541783</v>
      </c>
      <c r="P185" s="192">
        <f>Tableau4[[#This Row],[Couverture 0 (%)]]*Tableau4[[#This Row],[Nombres appareils installés]]</f>
        <v>1.2239596343108357</v>
      </c>
      <c r="Q185" s="189">
        <f>($Q$4+$R$4*(Tableau4[[#This Row],[Capacité (BTU)]]/1000))*Tableau4[[#This Row],[Nombres appareils installés]]</f>
        <v>7100</v>
      </c>
      <c r="R185" s="189">
        <f>Tableau4[[#This Row],[AF 1 ($)]]/Tableau4[[#This Row],[Nombres appareils installés]]</f>
        <v>3550</v>
      </c>
      <c r="S185" s="192">
        <f>Tableau4[[#This Row],[AF 1 ($)]]/(J185*D185)</f>
        <v>0.52318212633006167</v>
      </c>
      <c r="T185" s="192">
        <f>Tableau4[[#This Row],[Couverture 1 (%)]]*Tableau4[[#This Row],[Nombres appareils installés]]</f>
        <v>1.0463642526601233</v>
      </c>
      <c r="U185" s="189">
        <f>($U$4+($V$4*(Tableau4[[#This Row],[Capacité (BTU)]]/1000)))*Tableau4[[#This Row],[Nombres appareils installés]]</f>
        <v>8650</v>
      </c>
      <c r="V185" s="189">
        <f>Tableau4[[#This Row],[AF 2 ($)]]/Tableau4[[#This Row],[Nombres appareils installés]]</f>
        <v>4325</v>
      </c>
      <c r="W185" s="193">
        <f>Tableau4[[#This Row],[AF 2 par appareil ($)]]/Tableau4[[#This Row],[Surcoût par appareil ($)]]</f>
        <v>0.63739794264155392</v>
      </c>
      <c r="X185" s="193">
        <f>Tableau4[[#This Row],[Couverture 2 (%)]]*Tableau4[[#This Row],[Nombres appareils installés]]</f>
        <v>1.2747958852831078</v>
      </c>
      <c r="Y185" s="189">
        <f>($Y$4+$Z$4*(Tableau4[[#This Row],[Capacité (BTU)]]/1000))*Tableau4[[#This Row],[Nombres appareils installés]]</f>
        <v>8100</v>
      </c>
      <c r="Z185" s="189">
        <f>Tableau4[[#This Row],[AF 3 ($)]]/Tableau4[[#This Row],[Nombres appareils installés]]</f>
        <v>4050</v>
      </c>
      <c r="AA185" s="194">
        <f>Tableau4[[#This Row],[AF 3 par appareil ($)]]/Tableau4[[#This Row],[Surcoût par appareil ($)]]</f>
        <v>0.59686974975683083</v>
      </c>
      <c r="AB185" s="194">
        <f>Tableau4[[#This Row],[Couverture 3 (%)]]*Tableau4[[#This Row],[Nombres appareils installés]]</f>
        <v>1.1937394995136617</v>
      </c>
      <c r="AC185" s="189">
        <f>($AC$4+$AD$4*(Tableau4[[#This Row],[Capacité (BTU)]]/1000))*Tableau4[[#This Row],[Nombres appareils installés]]</f>
        <v>6880</v>
      </c>
      <c r="AD185" s="189">
        <f>Tableau4[[#This Row],[AF 4 ($)]]/Tableau4[[#This Row],[Nombres appareils installés]]</f>
        <v>3440</v>
      </c>
      <c r="AE185" s="195">
        <f>Tableau4[[#This Row],[Couverture 4 (%)]]*Tableau4[[#This Row],[Nombres appareils installés]]</f>
        <v>1.0139416983523448</v>
      </c>
      <c r="AF185" s="194">
        <f>Tableau4[[#This Row],[AF 4 par appareil  ($)]]/Tableau4[[#This Row],[Surcoût par appareil ($)]]</f>
        <v>0.50697084917617241</v>
      </c>
    </row>
    <row r="186" spans="2:32" x14ac:dyDescent="0.3">
      <c r="B186" s="198" t="s">
        <v>319</v>
      </c>
      <c r="C186" s="189" t="s">
        <v>216</v>
      </c>
      <c r="D186" s="198">
        <v>2</v>
      </c>
      <c r="E186" s="198">
        <v>310000</v>
      </c>
      <c r="F186" s="199">
        <f>Tableau4[[#This Row],[Economies totales (m3)]]/Tableau4[[#This Row],[Nombres appareils installés]]</f>
        <v>1565.5</v>
      </c>
      <c r="G186" s="198">
        <v>3131</v>
      </c>
      <c r="H186" s="189">
        <f t="shared" si="4"/>
        <v>4385.3999999999996</v>
      </c>
      <c r="I186" s="189">
        <v>2400</v>
      </c>
      <c r="J186" s="189">
        <f>Tableau4[[#This Row],[Surcoût moyens de l''équipement ($)]]+Tableau4[[#This Row],[Surcoût moyen de l''installation ($)]]</f>
        <v>6785.4</v>
      </c>
      <c r="K186" s="189">
        <f>Tableau4[[#This Row],[Surcoût par appareil ($)]]*Tableau4[[#This Row],[Nombres appareils installés]]</f>
        <v>13570.8</v>
      </c>
      <c r="L186" s="198">
        <v>4900</v>
      </c>
      <c r="M186" s="189">
        <f t="shared" si="5"/>
        <v>4900</v>
      </c>
      <c r="N186" s="189">
        <f>Tableau4[[#This Row],[AF 0 ($)]]/Tableau4[[#This Row],[Nombres appareils installés]]</f>
        <v>2450</v>
      </c>
      <c r="O186" s="192">
        <f>(Tableau4[[#This Row],[AF accordée ($)]])/($J$6*D186)</f>
        <v>0.61197981715541783</v>
      </c>
      <c r="P186" s="192">
        <f>Tableau4[[#This Row],[Couverture 0 (%)]]*Tableau4[[#This Row],[Nombres appareils installés]]</f>
        <v>1.2239596343108357</v>
      </c>
      <c r="Q186" s="189">
        <f>($Q$4+$R$4*(Tableau4[[#This Row],[Capacité (BTU)]]/1000))*Tableau4[[#This Row],[Nombres appareils installés]]</f>
        <v>7100</v>
      </c>
      <c r="R186" s="189">
        <f>Tableau4[[#This Row],[AF 1 ($)]]/Tableau4[[#This Row],[Nombres appareils installés]]</f>
        <v>3550</v>
      </c>
      <c r="S186" s="192">
        <f>Tableau4[[#This Row],[AF 1 ($)]]/(J186*D186)</f>
        <v>0.52318212633006167</v>
      </c>
      <c r="T186" s="192">
        <f>Tableau4[[#This Row],[Couverture 1 (%)]]*Tableau4[[#This Row],[Nombres appareils installés]]</f>
        <v>1.0463642526601233</v>
      </c>
      <c r="U186" s="189">
        <f>($U$4+($V$4*(Tableau4[[#This Row],[Capacité (BTU)]]/1000)))*Tableau4[[#This Row],[Nombres appareils installés]]</f>
        <v>8650</v>
      </c>
      <c r="V186" s="189">
        <f>Tableau4[[#This Row],[AF 2 ($)]]/Tableau4[[#This Row],[Nombres appareils installés]]</f>
        <v>4325</v>
      </c>
      <c r="W186" s="193">
        <f>Tableau4[[#This Row],[AF 2 par appareil ($)]]/Tableau4[[#This Row],[Surcoût par appareil ($)]]</f>
        <v>0.63739794264155392</v>
      </c>
      <c r="X186" s="193">
        <f>Tableau4[[#This Row],[Couverture 2 (%)]]*Tableau4[[#This Row],[Nombres appareils installés]]</f>
        <v>1.2747958852831078</v>
      </c>
      <c r="Y186" s="189">
        <f>($Y$4+$Z$4*(Tableau4[[#This Row],[Capacité (BTU)]]/1000))*Tableau4[[#This Row],[Nombres appareils installés]]</f>
        <v>8100</v>
      </c>
      <c r="Z186" s="189">
        <f>Tableau4[[#This Row],[AF 3 ($)]]/Tableau4[[#This Row],[Nombres appareils installés]]</f>
        <v>4050</v>
      </c>
      <c r="AA186" s="194">
        <f>Tableau4[[#This Row],[AF 3 par appareil ($)]]/Tableau4[[#This Row],[Surcoût par appareil ($)]]</f>
        <v>0.59686974975683083</v>
      </c>
      <c r="AB186" s="194">
        <f>Tableau4[[#This Row],[Couverture 3 (%)]]*Tableau4[[#This Row],[Nombres appareils installés]]</f>
        <v>1.1937394995136617</v>
      </c>
      <c r="AC186" s="189">
        <f>($AC$4+$AD$4*(Tableau4[[#This Row],[Capacité (BTU)]]/1000))*Tableau4[[#This Row],[Nombres appareils installés]]</f>
        <v>6880</v>
      </c>
      <c r="AD186" s="189">
        <f>Tableau4[[#This Row],[AF 4 ($)]]/Tableau4[[#This Row],[Nombres appareils installés]]</f>
        <v>3440</v>
      </c>
      <c r="AE186" s="195">
        <f>Tableau4[[#This Row],[Couverture 4 (%)]]*Tableau4[[#This Row],[Nombres appareils installés]]</f>
        <v>1.0139416983523448</v>
      </c>
      <c r="AF186" s="194">
        <f>Tableau4[[#This Row],[AF 4 par appareil  ($)]]/Tableau4[[#This Row],[Surcoût par appareil ($)]]</f>
        <v>0.50697084917617241</v>
      </c>
    </row>
    <row r="187" spans="2:32" x14ac:dyDescent="0.3">
      <c r="B187" s="189" t="s">
        <v>319</v>
      </c>
      <c r="C187" s="189" t="s">
        <v>216</v>
      </c>
      <c r="D187" s="189">
        <v>2</v>
      </c>
      <c r="E187" s="189">
        <v>310000</v>
      </c>
      <c r="F187" s="197">
        <f>Tableau4[[#This Row],[Economies totales (m3)]]/Tableau4[[#This Row],[Nombres appareils installés]]</f>
        <v>1565.5</v>
      </c>
      <c r="G187" s="189">
        <v>3131</v>
      </c>
      <c r="H187" s="189">
        <f t="shared" si="4"/>
        <v>4385.3999999999996</v>
      </c>
      <c r="I187" s="189">
        <v>2400</v>
      </c>
      <c r="J187" s="189">
        <f>Tableau4[[#This Row],[Surcoût moyens de l''équipement ($)]]+Tableau4[[#This Row],[Surcoût moyen de l''installation ($)]]</f>
        <v>6785.4</v>
      </c>
      <c r="K187" s="189">
        <f>Tableau4[[#This Row],[Surcoût par appareil ($)]]*Tableau4[[#This Row],[Nombres appareils installés]]</f>
        <v>13570.8</v>
      </c>
      <c r="L187" s="189">
        <v>4900</v>
      </c>
      <c r="M187" s="189">
        <f t="shared" si="5"/>
        <v>4900</v>
      </c>
      <c r="N187" s="189">
        <f>Tableau4[[#This Row],[AF 0 ($)]]/Tableau4[[#This Row],[Nombres appareils installés]]</f>
        <v>2450</v>
      </c>
      <c r="O187" s="192">
        <f>(Tableau4[[#This Row],[AF accordée ($)]])/($J$6*D187)</f>
        <v>0.61197981715541783</v>
      </c>
      <c r="P187" s="192">
        <f>Tableau4[[#This Row],[Couverture 0 (%)]]*Tableau4[[#This Row],[Nombres appareils installés]]</f>
        <v>1.2239596343108357</v>
      </c>
      <c r="Q187" s="189">
        <f>($Q$4+$R$4*(Tableau4[[#This Row],[Capacité (BTU)]]/1000))*Tableau4[[#This Row],[Nombres appareils installés]]</f>
        <v>7100</v>
      </c>
      <c r="R187" s="189">
        <f>Tableau4[[#This Row],[AF 1 ($)]]/Tableau4[[#This Row],[Nombres appareils installés]]</f>
        <v>3550</v>
      </c>
      <c r="S187" s="192">
        <f>Tableau4[[#This Row],[AF 1 ($)]]/(J187*D187)</f>
        <v>0.52318212633006167</v>
      </c>
      <c r="T187" s="192">
        <f>Tableau4[[#This Row],[Couverture 1 (%)]]*Tableau4[[#This Row],[Nombres appareils installés]]</f>
        <v>1.0463642526601233</v>
      </c>
      <c r="U187" s="189">
        <f>($U$4+($V$4*(Tableau4[[#This Row],[Capacité (BTU)]]/1000)))*Tableau4[[#This Row],[Nombres appareils installés]]</f>
        <v>8650</v>
      </c>
      <c r="V187" s="189">
        <f>Tableau4[[#This Row],[AF 2 ($)]]/Tableau4[[#This Row],[Nombres appareils installés]]</f>
        <v>4325</v>
      </c>
      <c r="W187" s="193">
        <f>Tableau4[[#This Row],[AF 2 par appareil ($)]]/Tableau4[[#This Row],[Surcoût par appareil ($)]]</f>
        <v>0.63739794264155392</v>
      </c>
      <c r="X187" s="193">
        <f>Tableau4[[#This Row],[Couverture 2 (%)]]*Tableau4[[#This Row],[Nombres appareils installés]]</f>
        <v>1.2747958852831078</v>
      </c>
      <c r="Y187" s="189">
        <f>($Y$4+$Z$4*(Tableau4[[#This Row],[Capacité (BTU)]]/1000))*Tableau4[[#This Row],[Nombres appareils installés]]</f>
        <v>8100</v>
      </c>
      <c r="Z187" s="189">
        <f>Tableau4[[#This Row],[AF 3 ($)]]/Tableau4[[#This Row],[Nombres appareils installés]]</f>
        <v>4050</v>
      </c>
      <c r="AA187" s="194">
        <f>Tableau4[[#This Row],[AF 3 par appareil ($)]]/Tableau4[[#This Row],[Surcoût par appareil ($)]]</f>
        <v>0.59686974975683083</v>
      </c>
      <c r="AB187" s="194">
        <f>Tableau4[[#This Row],[Couverture 3 (%)]]*Tableau4[[#This Row],[Nombres appareils installés]]</f>
        <v>1.1937394995136617</v>
      </c>
      <c r="AC187" s="189">
        <f>($AC$4+$AD$4*(Tableau4[[#This Row],[Capacité (BTU)]]/1000))*Tableau4[[#This Row],[Nombres appareils installés]]</f>
        <v>6880</v>
      </c>
      <c r="AD187" s="189">
        <f>Tableau4[[#This Row],[AF 4 ($)]]/Tableau4[[#This Row],[Nombres appareils installés]]</f>
        <v>3440</v>
      </c>
      <c r="AE187" s="195">
        <f>Tableau4[[#This Row],[Couverture 4 (%)]]*Tableau4[[#This Row],[Nombres appareils installés]]</f>
        <v>1.0139416983523448</v>
      </c>
      <c r="AF187" s="194">
        <f>Tableau4[[#This Row],[AF 4 par appareil  ($)]]/Tableau4[[#This Row],[Surcoût par appareil ($)]]</f>
        <v>0.50697084917617241</v>
      </c>
    </row>
    <row r="188" spans="2:32" x14ac:dyDescent="0.3">
      <c r="B188" s="200" t="s">
        <v>320</v>
      </c>
      <c r="C188" s="189">
        <f>COUNTA(Tableau4[Numéro dossier])</f>
        <v>182</v>
      </c>
      <c r="D188" s="189">
        <f>SUM(Tableau4[Nombres appareils installés])</f>
        <v>422</v>
      </c>
      <c r="E188" s="201"/>
      <c r="F188" s="201"/>
      <c r="W188" s="202"/>
      <c r="X188" s="202"/>
    </row>
    <row r="190" spans="2:32" x14ac:dyDescent="0.3">
      <c r="E190" s="203"/>
      <c r="F190" s="203"/>
      <c r="G190" s="203"/>
    </row>
    <row r="191" spans="2:32" x14ac:dyDescent="0.3">
      <c r="E191" s="204"/>
      <c r="F191" s="204"/>
      <c r="G191" s="204"/>
    </row>
    <row r="202" spans="7:7" x14ac:dyDescent="0.3"/>
  </sheetData>
  <mergeCells count="6">
    <mergeCell ref="AC2:AF2"/>
    <mergeCell ref="H4:J4"/>
    <mergeCell ref="M2:O2"/>
    <mergeCell ref="Q2:S2"/>
    <mergeCell ref="U2:W2"/>
    <mergeCell ref="Y2:AA2"/>
  </mergeCells>
  <pageMargins left="0.7" right="0.7" top="0.75" bottom="0.75" header="0.3" footer="0.3"/>
  <drawing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2ACF-2F50-4C65-9133-4681A7CF6686}">
  <dimension ref="B2:E14"/>
  <sheetViews>
    <sheetView workbookViewId="0">
      <selection activeCell="D20" sqref="D20"/>
    </sheetView>
  </sheetViews>
  <sheetFormatPr defaultRowHeight="14.4" x14ac:dyDescent="0.3"/>
  <cols>
    <col min="3" max="3" width="18.21875" bestFit="1" customWidth="1"/>
    <col min="4" max="4" width="20.5546875" bestFit="1" customWidth="1"/>
  </cols>
  <sheetData>
    <row r="2" spans="2:5" x14ac:dyDescent="0.3">
      <c r="B2" t="s">
        <v>324</v>
      </c>
      <c r="C2" t="s">
        <v>321</v>
      </c>
      <c r="D2" t="s">
        <v>322</v>
      </c>
      <c r="E2" t="s">
        <v>323</v>
      </c>
    </row>
    <row r="3" spans="2:5" x14ac:dyDescent="0.3">
      <c r="B3">
        <v>50000</v>
      </c>
      <c r="C3">
        <f>0.0051*B3</f>
        <v>255.00000000000003</v>
      </c>
      <c r="D3">
        <v>272</v>
      </c>
      <c r="E3" s="205">
        <f>ABS(D3-C3)/C3</f>
        <v>6.6666666666666541E-2</v>
      </c>
    </row>
    <row r="4" spans="2:5" x14ac:dyDescent="0.3">
      <c r="B4">
        <v>100000</v>
      </c>
      <c r="C4">
        <f t="shared" ref="C4:C10" si="0">0.0051*B4</f>
        <v>510.00000000000006</v>
      </c>
      <c r="D4">
        <v>543</v>
      </c>
      <c r="E4" s="205">
        <f t="shared" ref="E4:E10" si="1">ABS(D4-C4)/C4</f>
        <v>6.4705882352941058E-2</v>
      </c>
    </row>
    <row r="5" spans="2:5" x14ac:dyDescent="0.3">
      <c r="B5">
        <v>150000</v>
      </c>
      <c r="C5">
        <f t="shared" si="0"/>
        <v>765</v>
      </c>
      <c r="D5">
        <v>815</v>
      </c>
      <c r="E5" s="205">
        <f t="shared" si="1"/>
        <v>6.535947712418301E-2</v>
      </c>
    </row>
    <row r="6" spans="2:5" x14ac:dyDescent="0.3">
      <c r="B6">
        <v>200000</v>
      </c>
      <c r="C6">
        <f t="shared" si="0"/>
        <v>1020.0000000000001</v>
      </c>
      <c r="D6">
        <v>1087</v>
      </c>
      <c r="E6" s="205">
        <f t="shared" si="1"/>
        <v>6.5686274509803799E-2</v>
      </c>
    </row>
    <row r="7" spans="2:5" x14ac:dyDescent="0.3">
      <c r="B7">
        <v>250000</v>
      </c>
      <c r="C7">
        <f t="shared" si="0"/>
        <v>1275</v>
      </c>
      <c r="D7">
        <v>1359</v>
      </c>
      <c r="E7" s="205">
        <f t="shared" si="1"/>
        <v>6.5882352941176475E-2</v>
      </c>
    </row>
    <row r="8" spans="2:5" x14ac:dyDescent="0.3">
      <c r="B8">
        <v>300000</v>
      </c>
      <c r="C8">
        <f t="shared" si="0"/>
        <v>1530</v>
      </c>
      <c r="D8">
        <v>1630</v>
      </c>
      <c r="E8" s="205">
        <f t="shared" si="1"/>
        <v>6.535947712418301E-2</v>
      </c>
    </row>
    <row r="9" spans="2:5" x14ac:dyDescent="0.3">
      <c r="B9">
        <v>350000</v>
      </c>
      <c r="C9">
        <f t="shared" si="0"/>
        <v>1785.0000000000002</v>
      </c>
      <c r="D9">
        <v>1902</v>
      </c>
      <c r="E9" s="205">
        <f t="shared" si="1"/>
        <v>6.5546218487394822E-2</v>
      </c>
    </row>
    <row r="10" spans="2:5" x14ac:dyDescent="0.3">
      <c r="B10">
        <v>400000</v>
      </c>
      <c r="C10">
        <f t="shared" si="0"/>
        <v>2040.0000000000002</v>
      </c>
      <c r="D10">
        <v>2174</v>
      </c>
      <c r="E10" s="205">
        <f t="shared" si="1"/>
        <v>6.5686274509803799E-2</v>
      </c>
    </row>
    <row r="14" spans="2:5" x14ac:dyDescent="0.3">
      <c r="D14" s="206"/>
    </row>
  </sheetData>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B5775-6D22-4842-9656-15DAB7219ED0}">
  <sheetPr codeName="Sheet5"/>
  <dimension ref="A1:T65"/>
  <sheetViews>
    <sheetView zoomScaleNormal="100" workbookViewId="0">
      <selection activeCell="F11" sqref="F11"/>
    </sheetView>
  </sheetViews>
  <sheetFormatPr defaultColWidth="11.44140625" defaultRowHeight="14.4" x14ac:dyDescent="0.3"/>
  <cols>
    <col min="8" max="15" width="0" hidden="1" customWidth="1"/>
    <col min="16" max="17" width="21.33203125" customWidth="1"/>
    <col min="18" max="18" width="23" customWidth="1"/>
    <col min="19" max="19" width="12.6640625" customWidth="1"/>
  </cols>
  <sheetData>
    <row r="1" spans="1:20" ht="86.4" x14ac:dyDescent="0.3">
      <c r="A1" s="23" t="s">
        <v>52</v>
      </c>
      <c r="B1" s="23" t="s">
        <v>53</v>
      </c>
      <c r="C1" s="24" t="s">
        <v>54</v>
      </c>
      <c r="D1" s="23" t="s">
        <v>55</v>
      </c>
      <c r="E1" s="23" t="s">
        <v>56</v>
      </c>
      <c r="F1" s="23" t="s">
        <v>57</v>
      </c>
      <c r="G1" s="23" t="s">
        <v>58</v>
      </c>
      <c r="H1" s="23" t="s">
        <v>59</v>
      </c>
      <c r="I1" s="23" t="s">
        <v>60</v>
      </c>
      <c r="J1" s="23" t="s">
        <v>61</v>
      </c>
      <c r="K1" s="23" t="s">
        <v>62</v>
      </c>
      <c r="L1" s="23" t="s">
        <v>63</v>
      </c>
      <c r="M1" s="23" t="s">
        <v>64</v>
      </c>
      <c r="N1" s="23" t="s">
        <v>65</v>
      </c>
      <c r="O1" s="23" t="s">
        <v>66</v>
      </c>
      <c r="P1" s="23" t="s">
        <v>67</v>
      </c>
      <c r="Q1" s="25" t="s">
        <v>68</v>
      </c>
      <c r="R1" s="25" t="s">
        <v>69</v>
      </c>
      <c r="S1" s="25" t="s">
        <v>70</v>
      </c>
    </row>
    <row r="2" spans="1:20" x14ac:dyDescent="0.3">
      <c r="A2" s="1" t="s">
        <v>71</v>
      </c>
      <c r="B2" s="3" t="s">
        <v>72</v>
      </c>
      <c r="C2" s="3" t="s">
        <v>73</v>
      </c>
      <c r="D2" s="3" t="s">
        <v>74</v>
      </c>
      <c r="E2" s="3" t="s">
        <v>75</v>
      </c>
      <c r="F2" s="3"/>
      <c r="G2" s="5">
        <v>50000</v>
      </c>
      <c r="H2" s="5" t="s">
        <v>76</v>
      </c>
      <c r="I2" s="6"/>
      <c r="J2" s="3"/>
      <c r="K2" s="7">
        <v>0.97</v>
      </c>
      <c r="L2" s="8"/>
      <c r="M2" s="8" t="s">
        <v>77</v>
      </c>
      <c r="N2" s="8" t="s">
        <v>78</v>
      </c>
      <c r="O2" s="8"/>
      <c r="P2" s="9">
        <v>3120</v>
      </c>
      <c r="Q2" s="26">
        <f>(P2/2)</f>
        <v>1560</v>
      </c>
      <c r="R2" s="26">
        <f>(P2/2)+2400</f>
        <v>3960</v>
      </c>
      <c r="S2">
        <f>G2/1000*5+2000</f>
        <v>2250</v>
      </c>
      <c r="T2">
        <f>MAX(S2:S65)</f>
        <v>4500</v>
      </c>
    </row>
    <row r="3" spans="1:20" x14ac:dyDescent="0.3">
      <c r="A3" s="2" t="s">
        <v>71</v>
      </c>
      <c r="B3" s="4" t="s">
        <v>72</v>
      </c>
      <c r="C3" s="4" t="s">
        <v>73</v>
      </c>
      <c r="D3" s="4" t="s">
        <v>74</v>
      </c>
      <c r="E3" s="4" t="s">
        <v>79</v>
      </c>
      <c r="F3" s="4"/>
      <c r="G3" s="10">
        <v>100000</v>
      </c>
      <c r="H3" s="10" t="s">
        <v>76</v>
      </c>
      <c r="I3" s="11"/>
      <c r="J3" s="4"/>
      <c r="K3" s="12">
        <v>0.96</v>
      </c>
      <c r="L3" s="13"/>
      <c r="M3" s="13" t="s">
        <v>77</v>
      </c>
      <c r="N3" s="13" t="s">
        <v>78</v>
      </c>
      <c r="O3" s="13"/>
      <c r="P3" s="14">
        <v>3990</v>
      </c>
      <c r="Q3" s="26">
        <f t="shared" ref="Q3:Q65" si="0">(P3/2)</f>
        <v>1995</v>
      </c>
      <c r="R3" s="26">
        <f t="shared" ref="R3:R65" si="1">(P3/2)+2400</f>
        <v>4395</v>
      </c>
      <c r="S3">
        <f t="shared" ref="S3:S65" si="2">G3/1000*5+2000</f>
        <v>2500</v>
      </c>
    </row>
    <row r="4" spans="1:20" x14ac:dyDescent="0.3">
      <c r="A4" s="1" t="s">
        <v>71</v>
      </c>
      <c r="B4" s="3" t="s">
        <v>72</v>
      </c>
      <c r="C4" s="3" t="s">
        <v>73</v>
      </c>
      <c r="D4" s="3" t="s">
        <v>74</v>
      </c>
      <c r="E4" s="3" t="s">
        <v>80</v>
      </c>
      <c r="F4" s="3"/>
      <c r="G4" s="5">
        <v>150000</v>
      </c>
      <c r="H4" s="5" t="s">
        <v>76</v>
      </c>
      <c r="I4" s="6"/>
      <c r="J4" s="3"/>
      <c r="K4" s="7">
        <v>0.95</v>
      </c>
      <c r="L4" s="8"/>
      <c r="M4" s="8" t="s">
        <v>77</v>
      </c>
      <c r="N4" s="8" t="s">
        <v>78</v>
      </c>
      <c r="O4" s="8"/>
      <c r="P4" s="9">
        <v>4328</v>
      </c>
      <c r="Q4" s="26">
        <f t="shared" si="0"/>
        <v>2164</v>
      </c>
      <c r="R4" s="26">
        <f t="shared" si="1"/>
        <v>4564</v>
      </c>
      <c r="S4">
        <f t="shared" si="2"/>
        <v>2750</v>
      </c>
    </row>
    <row r="5" spans="1:20" x14ac:dyDescent="0.3">
      <c r="A5" s="2" t="s">
        <v>71</v>
      </c>
      <c r="B5" s="4" t="s">
        <v>72</v>
      </c>
      <c r="C5" s="4" t="s">
        <v>73</v>
      </c>
      <c r="D5" s="4" t="s">
        <v>74</v>
      </c>
      <c r="E5" s="4" t="s">
        <v>81</v>
      </c>
      <c r="F5" s="4"/>
      <c r="G5" s="10">
        <v>200000</v>
      </c>
      <c r="H5" s="10" t="s">
        <v>76</v>
      </c>
      <c r="I5" s="11"/>
      <c r="J5" s="4"/>
      <c r="K5" s="12">
        <v>0.96</v>
      </c>
      <c r="L5" s="13"/>
      <c r="M5" s="13" t="s">
        <v>77</v>
      </c>
      <c r="N5" s="13" t="s">
        <v>78</v>
      </c>
      <c r="O5" s="13"/>
      <c r="P5" s="14">
        <v>4960</v>
      </c>
      <c r="Q5" s="26">
        <f t="shared" si="0"/>
        <v>2480</v>
      </c>
      <c r="R5" s="26">
        <f t="shared" si="1"/>
        <v>4880</v>
      </c>
      <c r="S5">
        <f t="shared" si="2"/>
        <v>3000</v>
      </c>
    </row>
    <row r="6" spans="1:20" x14ac:dyDescent="0.3">
      <c r="A6" s="1" t="s">
        <v>71</v>
      </c>
      <c r="B6" s="3" t="s">
        <v>72</v>
      </c>
      <c r="C6" s="3" t="s">
        <v>73</v>
      </c>
      <c r="D6" s="3" t="s">
        <v>74</v>
      </c>
      <c r="E6" s="3" t="s">
        <v>82</v>
      </c>
      <c r="F6" s="3"/>
      <c r="G6" s="5">
        <v>300000</v>
      </c>
      <c r="H6" s="5" t="s">
        <v>76</v>
      </c>
      <c r="I6" s="6"/>
      <c r="J6" s="3"/>
      <c r="K6" s="7">
        <v>0.95</v>
      </c>
      <c r="L6" s="8"/>
      <c r="M6" s="8" t="s">
        <v>77</v>
      </c>
      <c r="N6" s="8" t="s">
        <v>78</v>
      </c>
      <c r="O6" s="8"/>
      <c r="P6" s="9">
        <v>6680</v>
      </c>
      <c r="Q6" s="26">
        <f t="shared" si="0"/>
        <v>3340</v>
      </c>
      <c r="R6" s="26">
        <f t="shared" si="1"/>
        <v>5740</v>
      </c>
      <c r="S6">
        <f t="shared" si="2"/>
        <v>3500</v>
      </c>
    </row>
    <row r="7" spans="1:20" x14ac:dyDescent="0.3">
      <c r="A7" s="2" t="s">
        <v>71</v>
      </c>
      <c r="B7" s="4" t="s">
        <v>72</v>
      </c>
      <c r="C7" s="4" t="s">
        <v>73</v>
      </c>
      <c r="D7" s="4" t="s">
        <v>74</v>
      </c>
      <c r="E7" s="4" t="s">
        <v>83</v>
      </c>
      <c r="F7" s="4"/>
      <c r="G7" s="10">
        <v>400000</v>
      </c>
      <c r="H7" s="10" t="s">
        <v>76</v>
      </c>
      <c r="I7" s="11"/>
      <c r="J7" s="4"/>
      <c r="K7" s="12">
        <v>0.96</v>
      </c>
      <c r="L7" s="13"/>
      <c r="M7" s="13" t="s">
        <v>77</v>
      </c>
      <c r="N7" s="13" t="s">
        <v>78</v>
      </c>
      <c r="O7" s="13"/>
      <c r="P7" s="14">
        <v>8300</v>
      </c>
      <c r="Q7" s="26">
        <f t="shared" si="0"/>
        <v>4150</v>
      </c>
      <c r="R7" s="26">
        <f t="shared" si="1"/>
        <v>6550</v>
      </c>
      <c r="S7">
        <f t="shared" si="2"/>
        <v>4000</v>
      </c>
    </row>
    <row r="8" spans="1:20" x14ac:dyDescent="0.3">
      <c r="A8" s="1" t="s">
        <v>71</v>
      </c>
      <c r="B8" s="3" t="s">
        <v>72</v>
      </c>
      <c r="C8" s="3" t="s">
        <v>73</v>
      </c>
      <c r="D8" s="3" t="s">
        <v>84</v>
      </c>
      <c r="E8" s="3" t="s">
        <v>85</v>
      </c>
      <c r="F8" s="3"/>
      <c r="G8" s="5">
        <v>50000</v>
      </c>
      <c r="H8" s="5" t="s">
        <v>76</v>
      </c>
      <c r="I8" s="6"/>
      <c r="J8" s="3"/>
      <c r="K8" s="7">
        <v>0.97</v>
      </c>
      <c r="L8" s="8"/>
      <c r="M8" s="8" t="s">
        <v>77</v>
      </c>
      <c r="N8" s="8" t="s">
        <v>78</v>
      </c>
      <c r="O8" s="8"/>
      <c r="P8" s="9">
        <v>3120</v>
      </c>
      <c r="Q8" s="26">
        <f t="shared" si="0"/>
        <v>1560</v>
      </c>
      <c r="R8" s="26">
        <f t="shared" si="1"/>
        <v>3960</v>
      </c>
      <c r="S8">
        <f t="shared" si="2"/>
        <v>2250</v>
      </c>
    </row>
    <row r="9" spans="1:20" x14ac:dyDescent="0.3">
      <c r="A9" s="2" t="s">
        <v>71</v>
      </c>
      <c r="B9" s="4" t="s">
        <v>72</v>
      </c>
      <c r="C9" s="4" t="s">
        <v>73</v>
      </c>
      <c r="D9" s="4" t="s">
        <v>84</v>
      </c>
      <c r="E9" s="4" t="s">
        <v>86</v>
      </c>
      <c r="F9" s="4"/>
      <c r="G9" s="10">
        <v>100000</v>
      </c>
      <c r="H9" s="10" t="s">
        <v>76</v>
      </c>
      <c r="I9" s="11"/>
      <c r="J9" s="4"/>
      <c r="K9" s="12">
        <v>0.96</v>
      </c>
      <c r="L9" s="13"/>
      <c r="M9" s="13" t="s">
        <v>77</v>
      </c>
      <c r="N9" s="13" t="s">
        <v>78</v>
      </c>
      <c r="O9" s="13"/>
      <c r="P9" s="14">
        <v>3990</v>
      </c>
      <c r="Q9" s="26">
        <f t="shared" si="0"/>
        <v>1995</v>
      </c>
      <c r="R9" s="26">
        <f t="shared" si="1"/>
        <v>4395</v>
      </c>
      <c r="S9">
        <f t="shared" si="2"/>
        <v>2500</v>
      </c>
    </row>
    <row r="10" spans="1:20" x14ac:dyDescent="0.3">
      <c r="A10" s="1" t="s">
        <v>71</v>
      </c>
      <c r="B10" s="3" t="s">
        <v>72</v>
      </c>
      <c r="C10" s="3" t="s">
        <v>73</v>
      </c>
      <c r="D10" s="3" t="s">
        <v>84</v>
      </c>
      <c r="E10" s="3" t="s">
        <v>87</v>
      </c>
      <c r="F10" s="3"/>
      <c r="G10" s="5">
        <v>150000</v>
      </c>
      <c r="H10" s="5" t="s">
        <v>76</v>
      </c>
      <c r="I10" s="6"/>
      <c r="J10" s="3"/>
      <c r="K10" s="7">
        <v>0.95</v>
      </c>
      <c r="L10" s="8"/>
      <c r="M10" s="8" t="s">
        <v>77</v>
      </c>
      <c r="N10" s="8" t="s">
        <v>78</v>
      </c>
      <c r="O10" s="8"/>
      <c r="P10" s="9">
        <v>4328</v>
      </c>
      <c r="Q10" s="26">
        <f t="shared" si="0"/>
        <v>2164</v>
      </c>
      <c r="R10" s="26">
        <f t="shared" si="1"/>
        <v>4564</v>
      </c>
      <c r="S10">
        <f t="shared" si="2"/>
        <v>2750</v>
      </c>
    </row>
    <row r="11" spans="1:20" x14ac:dyDescent="0.3">
      <c r="A11" s="2" t="s">
        <v>71</v>
      </c>
      <c r="B11" s="4" t="s">
        <v>72</v>
      </c>
      <c r="C11" s="4" t="s">
        <v>73</v>
      </c>
      <c r="D11" s="4" t="s">
        <v>84</v>
      </c>
      <c r="E11" s="4" t="s">
        <v>88</v>
      </c>
      <c r="F11" s="4"/>
      <c r="G11" s="10">
        <v>200000</v>
      </c>
      <c r="H11" s="10" t="s">
        <v>76</v>
      </c>
      <c r="I11" s="11"/>
      <c r="J11" s="4"/>
      <c r="K11" s="12">
        <v>0.96</v>
      </c>
      <c r="L11" s="13"/>
      <c r="M11" s="13" t="s">
        <v>77</v>
      </c>
      <c r="N11" s="13" t="s">
        <v>78</v>
      </c>
      <c r="O11" s="13"/>
      <c r="P11" s="14">
        <v>4960</v>
      </c>
      <c r="Q11" s="26">
        <f t="shared" si="0"/>
        <v>2480</v>
      </c>
      <c r="R11" s="26">
        <f t="shared" si="1"/>
        <v>4880</v>
      </c>
      <c r="S11">
        <f t="shared" si="2"/>
        <v>3000</v>
      </c>
    </row>
    <row r="12" spans="1:20" x14ac:dyDescent="0.3">
      <c r="A12" s="1" t="s">
        <v>71</v>
      </c>
      <c r="B12" s="3" t="s">
        <v>72</v>
      </c>
      <c r="C12" s="3" t="s">
        <v>73</v>
      </c>
      <c r="D12" s="3" t="s">
        <v>84</v>
      </c>
      <c r="E12" s="3" t="s">
        <v>89</v>
      </c>
      <c r="F12" s="3"/>
      <c r="G12" s="5">
        <v>300000</v>
      </c>
      <c r="H12" s="5" t="s">
        <v>76</v>
      </c>
      <c r="I12" s="6"/>
      <c r="J12" s="3"/>
      <c r="K12" s="7">
        <v>0.95</v>
      </c>
      <c r="L12" s="8"/>
      <c r="M12" s="8" t="s">
        <v>77</v>
      </c>
      <c r="N12" s="8" t="s">
        <v>78</v>
      </c>
      <c r="O12" s="8"/>
      <c r="P12" s="9">
        <v>6680</v>
      </c>
      <c r="Q12" s="26">
        <f t="shared" si="0"/>
        <v>3340</v>
      </c>
      <c r="R12" s="26">
        <f t="shared" si="1"/>
        <v>5740</v>
      </c>
      <c r="S12">
        <f t="shared" si="2"/>
        <v>3500</v>
      </c>
    </row>
    <row r="13" spans="1:20" x14ac:dyDescent="0.3">
      <c r="A13" s="2" t="s">
        <v>71</v>
      </c>
      <c r="B13" s="4" t="s">
        <v>72</v>
      </c>
      <c r="C13" s="4" t="s">
        <v>73</v>
      </c>
      <c r="D13" s="4" t="s">
        <v>84</v>
      </c>
      <c r="E13" s="4" t="s">
        <v>90</v>
      </c>
      <c r="F13" s="4"/>
      <c r="G13" s="10">
        <v>400000</v>
      </c>
      <c r="H13" s="10" t="s">
        <v>76</v>
      </c>
      <c r="I13" s="11"/>
      <c r="J13" s="4"/>
      <c r="K13" s="12">
        <v>0.96</v>
      </c>
      <c r="L13" s="13"/>
      <c r="M13" s="13" t="s">
        <v>77</v>
      </c>
      <c r="N13" s="13" t="s">
        <v>78</v>
      </c>
      <c r="O13" s="13"/>
      <c r="P13" s="14">
        <v>8300</v>
      </c>
      <c r="Q13" s="26">
        <f t="shared" si="0"/>
        <v>4150</v>
      </c>
      <c r="R13" s="26">
        <f t="shared" si="1"/>
        <v>6550</v>
      </c>
      <c r="S13">
        <f t="shared" si="2"/>
        <v>4000</v>
      </c>
    </row>
    <row r="14" spans="1:20" x14ac:dyDescent="0.3">
      <c r="A14" s="3" t="s">
        <v>71</v>
      </c>
      <c r="B14" s="3"/>
      <c r="C14" s="3" t="s">
        <v>73</v>
      </c>
      <c r="D14" s="3" t="s">
        <v>91</v>
      </c>
      <c r="E14" s="3" t="s">
        <v>92</v>
      </c>
      <c r="F14" s="3"/>
      <c r="G14" s="15">
        <v>50000</v>
      </c>
      <c r="H14" s="5" t="s">
        <v>76</v>
      </c>
      <c r="I14" s="16"/>
      <c r="J14" s="17"/>
      <c r="K14" s="18">
        <v>0.97</v>
      </c>
      <c r="L14" s="8"/>
      <c r="M14" s="8" t="s">
        <v>77</v>
      </c>
      <c r="N14" s="8" t="s">
        <v>78</v>
      </c>
      <c r="O14" s="8"/>
      <c r="P14" s="9">
        <v>2974</v>
      </c>
      <c r="Q14" s="26">
        <f t="shared" si="0"/>
        <v>1487</v>
      </c>
      <c r="R14" s="26">
        <f t="shared" si="1"/>
        <v>3887</v>
      </c>
      <c r="S14">
        <f t="shared" si="2"/>
        <v>2250</v>
      </c>
    </row>
    <row r="15" spans="1:20" x14ac:dyDescent="0.3">
      <c r="A15" s="4" t="s">
        <v>71</v>
      </c>
      <c r="B15" s="4"/>
      <c r="C15" s="4" t="s">
        <v>73</v>
      </c>
      <c r="D15" s="4" t="s">
        <v>91</v>
      </c>
      <c r="E15" s="4" t="s">
        <v>93</v>
      </c>
      <c r="F15" s="4"/>
      <c r="G15" s="19">
        <v>100000</v>
      </c>
      <c r="H15" s="10" t="s">
        <v>76</v>
      </c>
      <c r="I15" s="20"/>
      <c r="J15" s="21"/>
      <c r="K15" s="22">
        <v>0.96</v>
      </c>
      <c r="L15" s="13"/>
      <c r="M15" s="13" t="s">
        <v>77</v>
      </c>
      <c r="N15" s="13" t="s">
        <v>78</v>
      </c>
      <c r="O15" s="13"/>
      <c r="P15" s="14">
        <v>3791</v>
      </c>
      <c r="Q15" s="26">
        <f t="shared" si="0"/>
        <v>1895.5</v>
      </c>
      <c r="R15" s="26">
        <f t="shared" si="1"/>
        <v>4295.5</v>
      </c>
      <c r="S15">
        <f t="shared" si="2"/>
        <v>2500</v>
      </c>
    </row>
    <row r="16" spans="1:20" x14ac:dyDescent="0.3">
      <c r="A16" s="3" t="s">
        <v>71</v>
      </c>
      <c r="B16" s="3"/>
      <c r="C16" s="3" t="s">
        <v>73</v>
      </c>
      <c r="D16" s="3" t="s">
        <v>91</v>
      </c>
      <c r="E16" s="3" t="s">
        <v>94</v>
      </c>
      <c r="F16" s="3"/>
      <c r="G16" s="15">
        <v>150000</v>
      </c>
      <c r="H16" s="5" t="s">
        <v>76</v>
      </c>
      <c r="I16" s="16"/>
      <c r="J16" s="17"/>
      <c r="K16" s="18">
        <v>0.95</v>
      </c>
      <c r="L16" s="8"/>
      <c r="M16" s="8" t="s">
        <v>77</v>
      </c>
      <c r="N16" s="8" t="s">
        <v>78</v>
      </c>
      <c r="O16" s="8"/>
      <c r="P16" s="9">
        <v>4125</v>
      </c>
      <c r="Q16" s="26">
        <f t="shared" si="0"/>
        <v>2062.5</v>
      </c>
      <c r="R16" s="26">
        <f t="shared" si="1"/>
        <v>4462.5</v>
      </c>
      <c r="S16">
        <f t="shared" si="2"/>
        <v>2750</v>
      </c>
    </row>
    <row r="17" spans="1:19" x14ac:dyDescent="0.3">
      <c r="A17" s="4" t="s">
        <v>71</v>
      </c>
      <c r="B17" s="4"/>
      <c r="C17" s="4" t="s">
        <v>73</v>
      </c>
      <c r="D17" s="4" t="s">
        <v>91</v>
      </c>
      <c r="E17" s="4" t="s">
        <v>95</v>
      </c>
      <c r="F17" s="4"/>
      <c r="G17" s="19">
        <v>200000</v>
      </c>
      <c r="H17" s="10" t="s">
        <v>76</v>
      </c>
      <c r="I17" s="20"/>
      <c r="J17" s="21"/>
      <c r="K17" s="22">
        <v>0.96</v>
      </c>
      <c r="L17" s="13"/>
      <c r="M17" s="13" t="s">
        <v>77</v>
      </c>
      <c r="N17" s="13" t="s">
        <v>78</v>
      </c>
      <c r="O17" s="13"/>
      <c r="P17" s="14">
        <v>4712</v>
      </c>
      <c r="Q17" s="26">
        <f t="shared" si="0"/>
        <v>2356</v>
      </c>
      <c r="R17" s="26">
        <f t="shared" si="1"/>
        <v>4756</v>
      </c>
      <c r="S17">
        <f t="shared" si="2"/>
        <v>3000</v>
      </c>
    </row>
    <row r="18" spans="1:19" x14ac:dyDescent="0.3">
      <c r="A18" s="3" t="s">
        <v>71</v>
      </c>
      <c r="B18" s="3"/>
      <c r="C18" s="3" t="s">
        <v>73</v>
      </c>
      <c r="D18" s="3" t="s">
        <v>91</v>
      </c>
      <c r="E18" s="3" t="s">
        <v>96</v>
      </c>
      <c r="F18" s="3"/>
      <c r="G18" s="15">
        <v>300000</v>
      </c>
      <c r="H18" s="5" t="s">
        <v>76</v>
      </c>
      <c r="I18" s="16"/>
      <c r="J18" s="17"/>
      <c r="K18" s="18">
        <v>0.95</v>
      </c>
      <c r="L18" s="8"/>
      <c r="M18" s="8" t="s">
        <v>77</v>
      </c>
      <c r="N18" s="8" t="s">
        <v>78</v>
      </c>
      <c r="O18" s="8"/>
      <c r="P18" s="9">
        <v>6345</v>
      </c>
      <c r="Q18" s="26">
        <f t="shared" si="0"/>
        <v>3172.5</v>
      </c>
      <c r="R18" s="26">
        <f t="shared" si="1"/>
        <v>5572.5</v>
      </c>
      <c r="S18">
        <f t="shared" si="2"/>
        <v>3500</v>
      </c>
    </row>
    <row r="19" spans="1:19" x14ac:dyDescent="0.3">
      <c r="A19" s="4" t="s">
        <v>71</v>
      </c>
      <c r="B19" s="4"/>
      <c r="C19" s="4" t="s">
        <v>73</v>
      </c>
      <c r="D19" s="4" t="s">
        <v>91</v>
      </c>
      <c r="E19" s="4" t="s">
        <v>97</v>
      </c>
      <c r="F19" s="4"/>
      <c r="G19" s="19">
        <v>400000</v>
      </c>
      <c r="H19" s="10" t="s">
        <v>76</v>
      </c>
      <c r="I19" s="20"/>
      <c r="J19" s="21"/>
      <c r="K19" s="22">
        <v>0.96</v>
      </c>
      <c r="L19" s="13"/>
      <c r="M19" s="13" t="s">
        <v>77</v>
      </c>
      <c r="N19" s="13" t="s">
        <v>78</v>
      </c>
      <c r="O19" s="13"/>
      <c r="P19" s="14">
        <v>7881</v>
      </c>
      <c r="Q19" s="26">
        <f t="shared" si="0"/>
        <v>3940.5</v>
      </c>
      <c r="R19" s="26">
        <f t="shared" si="1"/>
        <v>6340.5</v>
      </c>
      <c r="S19">
        <f t="shared" si="2"/>
        <v>4000</v>
      </c>
    </row>
    <row r="20" spans="1:19" x14ac:dyDescent="0.3">
      <c r="A20" s="3" t="s">
        <v>71</v>
      </c>
      <c r="B20" s="3"/>
      <c r="C20" s="3" t="s">
        <v>73</v>
      </c>
      <c r="D20" s="3" t="s">
        <v>91</v>
      </c>
      <c r="E20" s="3" t="s">
        <v>98</v>
      </c>
      <c r="F20" s="3"/>
      <c r="G20" s="15">
        <v>50000</v>
      </c>
      <c r="H20" s="5" t="s">
        <v>76</v>
      </c>
      <c r="I20" s="16"/>
      <c r="J20" s="17"/>
      <c r="K20" s="18">
        <v>0.97</v>
      </c>
      <c r="L20" s="8"/>
      <c r="M20" s="8" t="s">
        <v>77</v>
      </c>
      <c r="N20" s="8" t="s">
        <v>78</v>
      </c>
      <c r="O20" s="8"/>
      <c r="P20" s="9">
        <v>2974</v>
      </c>
      <c r="Q20" s="26">
        <f t="shared" si="0"/>
        <v>1487</v>
      </c>
      <c r="R20" s="26">
        <f t="shared" si="1"/>
        <v>3887</v>
      </c>
      <c r="S20">
        <f t="shared" si="2"/>
        <v>2250</v>
      </c>
    </row>
    <row r="21" spans="1:19" x14ac:dyDescent="0.3">
      <c r="A21" s="4" t="s">
        <v>71</v>
      </c>
      <c r="B21" s="4"/>
      <c r="C21" s="4" t="s">
        <v>73</v>
      </c>
      <c r="D21" s="4" t="s">
        <v>91</v>
      </c>
      <c r="E21" s="4" t="s">
        <v>99</v>
      </c>
      <c r="F21" s="4"/>
      <c r="G21" s="19">
        <v>100000</v>
      </c>
      <c r="H21" s="10" t="s">
        <v>76</v>
      </c>
      <c r="I21" s="20"/>
      <c r="J21" s="21"/>
      <c r="K21" s="22">
        <v>0.96</v>
      </c>
      <c r="L21" s="13"/>
      <c r="M21" s="13" t="s">
        <v>77</v>
      </c>
      <c r="N21" s="13" t="s">
        <v>78</v>
      </c>
      <c r="O21" s="13"/>
      <c r="P21" s="14">
        <v>3791</v>
      </c>
      <c r="Q21" s="26">
        <f t="shared" si="0"/>
        <v>1895.5</v>
      </c>
      <c r="R21" s="26">
        <f t="shared" si="1"/>
        <v>4295.5</v>
      </c>
      <c r="S21">
        <f t="shared" si="2"/>
        <v>2500</v>
      </c>
    </row>
    <row r="22" spans="1:19" x14ac:dyDescent="0.3">
      <c r="A22" s="3" t="s">
        <v>71</v>
      </c>
      <c r="B22" s="3"/>
      <c r="C22" s="3" t="s">
        <v>73</v>
      </c>
      <c r="D22" s="3" t="s">
        <v>91</v>
      </c>
      <c r="E22" s="3" t="s">
        <v>100</v>
      </c>
      <c r="F22" s="3"/>
      <c r="G22" s="15">
        <v>150000</v>
      </c>
      <c r="H22" s="5" t="s">
        <v>76</v>
      </c>
      <c r="I22" s="16"/>
      <c r="J22" s="17"/>
      <c r="K22" s="18">
        <v>0.95</v>
      </c>
      <c r="L22" s="8"/>
      <c r="M22" s="8" t="s">
        <v>77</v>
      </c>
      <c r="N22" s="8" t="s">
        <v>78</v>
      </c>
      <c r="O22" s="8"/>
      <c r="P22" s="9">
        <v>4125</v>
      </c>
      <c r="Q22" s="26">
        <f t="shared" si="0"/>
        <v>2062.5</v>
      </c>
      <c r="R22" s="26">
        <f t="shared" si="1"/>
        <v>4462.5</v>
      </c>
      <c r="S22">
        <f t="shared" si="2"/>
        <v>2750</v>
      </c>
    </row>
    <row r="23" spans="1:19" x14ac:dyDescent="0.3">
      <c r="A23" s="4" t="s">
        <v>71</v>
      </c>
      <c r="B23" s="4"/>
      <c r="C23" s="4" t="s">
        <v>73</v>
      </c>
      <c r="D23" s="4" t="s">
        <v>91</v>
      </c>
      <c r="E23" s="4" t="s">
        <v>101</v>
      </c>
      <c r="F23" s="4"/>
      <c r="G23" s="19">
        <v>200000</v>
      </c>
      <c r="H23" s="10" t="s">
        <v>76</v>
      </c>
      <c r="I23" s="20"/>
      <c r="J23" s="21"/>
      <c r="K23" s="22">
        <v>0.96</v>
      </c>
      <c r="L23" s="13"/>
      <c r="M23" s="13" t="s">
        <v>77</v>
      </c>
      <c r="N23" s="13" t="s">
        <v>78</v>
      </c>
      <c r="O23" s="13"/>
      <c r="P23" s="14">
        <v>4712</v>
      </c>
      <c r="Q23" s="26">
        <f t="shared" si="0"/>
        <v>2356</v>
      </c>
      <c r="R23" s="26">
        <f t="shared" si="1"/>
        <v>4756</v>
      </c>
      <c r="S23">
        <f t="shared" si="2"/>
        <v>3000</v>
      </c>
    </row>
    <row r="24" spans="1:19" x14ac:dyDescent="0.3">
      <c r="A24" s="3" t="s">
        <v>71</v>
      </c>
      <c r="B24" s="3"/>
      <c r="C24" s="3" t="s">
        <v>73</v>
      </c>
      <c r="D24" s="3" t="s">
        <v>91</v>
      </c>
      <c r="E24" s="3" t="s">
        <v>102</v>
      </c>
      <c r="F24" s="3"/>
      <c r="G24" s="15">
        <v>300000</v>
      </c>
      <c r="H24" s="5" t="s">
        <v>76</v>
      </c>
      <c r="I24" s="16"/>
      <c r="J24" s="17"/>
      <c r="K24" s="18">
        <v>0.95</v>
      </c>
      <c r="L24" s="8"/>
      <c r="M24" s="8" t="s">
        <v>77</v>
      </c>
      <c r="N24" s="8" t="s">
        <v>78</v>
      </c>
      <c r="O24" s="8"/>
      <c r="P24" s="9">
        <v>6345</v>
      </c>
      <c r="Q24" s="26">
        <f t="shared" si="0"/>
        <v>3172.5</v>
      </c>
      <c r="R24" s="26">
        <f t="shared" si="1"/>
        <v>5572.5</v>
      </c>
      <c r="S24">
        <f t="shared" si="2"/>
        <v>3500</v>
      </c>
    </row>
    <row r="25" spans="1:19" x14ac:dyDescent="0.3">
      <c r="A25" s="4" t="s">
        <v>71</v>
      </c>
      <c r="B25" s="4"/>
      <c r="C25" s="4" t="s">
        <v>73</v>
      </c>
      <c r="D25" s="4" t="s">
        <v>91</v>
      </c>
      <c r="E25" s="4" t="s">
        <v>103</v>
      </c>
      <c r="F25" s="4"/>
      <c r="G25" s="19">
        <v>400000</v>
      </c>
      <c r="H25" s="10" t="s">
        <v>76</v>
      </c>
      <c r="I25" s="20"/>
      <c r="J25" s="21"/>
      <c r="K25" s="22">
        <v>0.96</v>
      </c>
      <c r="L25" s="13"/>
      <c r="M25" s="13" t="s">
        <v>77</v>
      </c>
      <c r="N25" s="13" t="s">
        <v>78</v>
      </c>
      <c r="O25" s="13"/>
      <c r="P25" s="14">
        <v>7881</v>
      </c>
      <c r="Q25" s="26">
        <f t="shared" si="0"/>
        <v>3940.5</v>
      </c>
      <c r="R25" s="26">
        <f t="shared" si="1"/>
        <v>6340.5</v>
      </c>
      <c r="S25">
        <f t="shared" si="2"/>
        <v>4000</v>
      </c>
    </row>
    <row r="26" spans="1:19" x14ac:dyDescent="0.3">
      <c r="A26" s="1" t="s">
        <v>71</v>
      </c>
      <c r="B26" s="3" t="s">
        <v>104</v>
      </c>
      <c r="C26" s="3" t="s">
        <v>105</v>
      </c>
      <c r="D26" s="3" t="s">
        <v>106</v>
      </c>
      <c r="E26" s="3" t="s">
        <v>107</v>
      </c>
      <c r="F26" s="3"/>
      <c r="G26" s="5">
        <v>215000</v>
      </c>
      <c r="H26" s="5" t="s">
        <v>76</v>
      </c>
      <c r="I26" s="6"/>
      <c r="J26" s="3"/>
      <c r="K26" s="7">
        <v>0.93</v>
      </c>
      <c r="L26" s="8"/>
      <c r="M26" s="8" t="s">
        <v>108</v>
      </c>
      <c r="N26" s="8" t="s">
        <v>109</v>
      </c>
      <c r="O26" s="8"/>
      <c r="P26" s="9">
        <v>8840</v>
      </c>
      <c r="Q26" s="26">
        <f t="shared" si="0"/>
        <v>4420</v>
      </c>
      <c r="R26" s="26">
        <f t="shared" si="1"/>
        <v>6820</v>
      </c>
      <c r="S26">
        <f t="shared" si="2"/>
        <v>3075</v>
      </c>
    </row>
    <row r="27" spans="1:19" x14ac:dyDescent="0.3">
      <c r="A27" s="2" t="s">
        <v>71</v>
      </c>
      <c r="B27" s="4" t="s">
        <v>104</v>
      </c>
      <c r="C27" s="4" t="s">
        <v>105</v>
      </c>
      <c r="D27" s="4" t="s">
        <v>106</v>
      </c>
      <c r="E27" s="4" t="s">
        <v>110</v>
      </c>
      <c r="F27" s="4"/>
      <c r="G27" s="10">
        <v>260000</v>
      </c>
      <c r="H27" s="10" t="s">
        <v>76</v>
      </c>
      <c r="I27" s="11"/>
      <c r="J27" s="4"/>
      <c r="K27" s="12">
        <v>0.93</v>
      </c>
      <c r="L27" s="13"/>
      <c r="M27" s="13" t="s">
        <v>108</v>
      </c>
      <c r="N27" s="13" t="s">
        <v>109</v>
      </c>
      <c r="O27" s="13"/>
      <c r="P27" s="14">
        <v>9635</v>
      </c>
      <c r="Q27" s="26">
        <f t="shared" si="0"/>
        <v>4817.5</v>
      </c>
      <c r="R27" s="26">
        <f t="shared" si="1"/>
        <v>7217.5</v>
      </c>
      <c r="S27">
        <f t="shared" si="2"/>
        <v>3300</v>
      </c>
    </row>
    <row r="28" spans="1:19" x14ac:dyDescent="0.3">
      <c r="A28" s="1" t="s">
        <v>71</v>
      </c>
      <c r="B28" s="3" t="s">
        <v>104</v>
      </c>
      <c r="C28" s="3" t="s">
        <v>105</v>
      </c>
      <c r="D28" s="3" t="s">
        <v>106</v>
      </c>
      <c r="E28" s="3" t="s">
        <v>111</v>
      </c>
      <c r="F28" s="3"/>
      <c r="G28" s="5">
        <v>310000</v>
      </c>
      <c r="H28" s="5" t="s">
        <v>76</v>
      </c>
      <c r="I28" s="6"/>
      <c r="J28" s="3"/>
      <c r="K28" s="7">
        <v>0.93</v>
      </c>
      <c r="L28" s="8"/>
      <c r="M28" s="8" t="s">
        <v>108</v>
      </c>
      <c r="N28" s="8" t="s">
        <v>109</v>
      </c>
      <c r="O28" s="8"/>
      <c r="P28" s="9">
        <v>10750</v>
      </c>
      <c r="Q28" s="26">
        <f t="shared" si="0"/>
        <v>5375</v>
      </c>
      <c r="R28" s="26">
        <f t="shared" si="1"/>
        <v>7775</v>
      </c>
      <c r="S28">
        <f t="shared" si="2"/>
        <v>3550</v>
      </c>
    </row>
    <row r="29" spans="1:19" x14ac:dyDescent="0.3">
      <c r="A29" s="2" t="s">
        <v>71</v>
      </c>
      <c r="B29" s="4" t="s">
        <v>104</v>
      </c>
      <c r="C29" s="4" t="s">
        <v>105</v>
      </c>
      <c r="D29" s="4" t="s">
        <v>106</v>
      </c>
      <c r="E29" s="4" t="s">
        <v>112</v>
      </c>
      <c r="F29" s="4"/>
      <c r="G29" s="10">
        <v>110000</v>
      </c>
      <c r="H29" s="10" t="s">
        <v>76</v>
      </c>
      <c r="I29" s="11"/>
      <c r="J29" s="4"/>
      <c r="K29" s="12">
        <v>0.93</v>
      </c>
      <c r="L29" s="13"/>
      <c r="M29" s="13" t="s">
        <v>108</v>
      </c>
      <c r="N29" s="13" t="s">
        <v>109</v>
      </c>
      <c r="O29" s="13"/>
      <c r="P29" s="14">
        <v>3495</v>
      </c>
      <c r="Q29" s="26">
        <f t="shared" si="0"/>
        <v>1747.5</v>
      </c>
      <c r="R29" s="26">
        <f t="shared" si="1"/>
        <v>4147.5</v>
      </c>
      <c r="S29">
        <f t="shared" si="2"/>
        <v>2550</v>
      </c>
    </row>
    <row r="30" spans="1:19" x14ac:dyDescent="0.3">
      <c r="A30" s="1" t="s">
        <v>71</v>
      </c>
      <c r="B30" s="3" t="s">
        <v>104</v>
      </c>
      <c r="C30" s="3" t="s">
        <v>105</v>
      </c>
      <c r="D30" s="3" t="s">
        <v>106</v>
      </c>
      <c r="E30" s="3" t="s">
        <v>113</v>
      </c>
      <c r="F30" s="3"/>
      <c r="G30" s="5">
        <v>135000</v>
      </c>
      <c r="H30" s="5" t="s">
        <v>76</v>
      </c>
      <c r="I30" s="6"/>
      <c r="J30" s="3"/>
      <c r="K30" s="7">
        <v>0.93</v>
      </c>
      <c r="L30" s="8"/>
      <c r="M30" s="8" t="s">
        <v>108</v>
      </c>
      <c r="N30" s="8" t="s">
        <v>109</v>
      </c>
      <c r="O30" s="8"/>
      <c r="P30" s="9">
        <v>4315</v>
      </c>
      <c r="Q30" s="26">
        <f t="shared" si="0"/>
        <v>2157.5</v>
      </c>
      <c r="R30" s="26">
        <f t="shared" si="1"/>
        <v>4557.5</v>
      </c>
      <c r="S30">
        <f t="shared" si="2"/>
        <v>2675</v>
      </c>
    </row>
    <row r="31" spans="1:19" x14ac:dyDescent="0.3">
      <c r="A31" s="2" t="s">
        <v>71</v>
      </c>
      <c r="B31" s="4" t="s">
        <v>104</v>
      </c>
      <c r="C31" s="4" t="s">
        <v>105</v>
      </c>
      <c r="D31" s="4" t="s">
        <v>106</v>
      </c>
      <c r="E31" s="4" t="s">
        <v>114</v>
      </c>
      <c r="F31" s="4"/>
      <c r="G31" s="10">
        <v>155000</v>
      </c>
      <c r="H31" s="10" t="s">
        <v>76</v>
      </c>
      <c r="I31" s="11"/>
      <c r="J31" s="4"/>
      <c r="K31" s="12">
        <v>0.93</v>
      </c>
      <c r="L31" s="13"/>
      <c r="M31" s="13" t="s">
        <v>108</v>
      </c>
      <c r="N31" s="13" t="s">
        <v>109</v>
      </c>
      <c r="O31" s="13"/>
      <c r="P31" s="14">
        <v>4623</v>
      </c>
      <c r="Q31" s="26">
        <f t="shared" si="0"/>
        <v>2311.5</v>
      </c>
      <c r="R31" s="26">
        <f t="shared" si="1"/>
        <v>4711.5</v>
      </c>
      <c r="S31">
        <f t="shared" si="2"/>
        <v>2775</v>
      </c>
    </row>
    <row r="32" spans="1:19" x14ac:dyDescent="0.3">
      <c r="A32" s="1" t="s">
        <v>71</v>
      </c>
      <c r="B32" s="3" t="s">
        <v>104</v>
      </c>
      <c r="C32" s="3" t="s">
        <v>105</v>
      </c>
      <c r="D32" s="3" t="s">
        <v>106</v>
      </c>
      <c r="E32" s="3" t="s">
        <v>115</v>
      </c>
      <c r="F32" s="3"/>
      <c r="G32" s="5">
        <v>180000</v>
      </c>
      <c r="H32" s="5" t="s">
        <v>76</v>
      </c>
      <c r="I32" s="6"/>
      <c r="J32" s="3"/>
      <c r="K32" s="7">
        <v>0.93</v>
      </c>
      <c r="L32" s="8"/>
      <c r="M32" s="8" t="s">
        <v>108</v>
      </c>
      <c r="N32" s="8" t="s">
        <v>109</v>
      </c>
      <c r="O32" s="8"/>
      <c r="P32" s="9">
        <v>4765</v>
      </c>
      <c r="Q32" s="26">
        <f t="shared" si="0"/>
        <v>2382.5</v>
      </c>
      <c r="R32" s="26">
        <f t="shared" si="1"/>
        <v>4782.5</v>
      </c>
      <c r="S32">
        <f t="shared" si="2"/>
        <v>2900</v>
      </c>
    </row>
    <row r="33" spans="1:19" x14ac:dyDescent="0.3">
      <c r="A33" s="2" t="s">
        <v>71</v>
      </c>
      <c r="B33" s="4" t="s">
        <v>104</v>
      </c>
      <c r="C33" s="4" t="s">
        <v>105</v>
      </c>
      <c r="D33" s="4" t="s">
        <v>106</v>
      </c>
      <c r="E33" s="4" t="s">
        <v>116</v>
      </c>
      <c r="F33" s="4"/>
      <c r="G33" s="10">
        <v>215000</v>
      </c>
      <c r="H33" s="10" t="s">
        <v>76</v>
      </c>
      <c r="I33" s="11"/>
      <c r="J33" s="4"/>
      <c r="K33" s="12">
        <v>0.93</v>
      </c>
      <c r="L33" s="13"/>
      <c r="M33" s="13" t="s">
        <v>108</v>
      </c>
      <c r="N33" s="13" t="s">
        <v>109</v>
      </c>
      <c r="O33" s="13"/>
      <c r="P33" s="14">
        <v>5418</v>
      </c>
      <c r="Q33" s="26">
        <f t="shared" si="0"/>
        <v>2709</v>
      </c>
      <c r="R33" s="26">
        <f t="shared" si="1"/>
        <v>5109</v>
      </c>
      <c r="S33">
        <f t="shared" si="2"/>
        <v>3075</v>
      </c>
    </row>
    <row r="34" spans="1:19" x14ac:dyDescent="0.3">
      <c r="A34" s="1" t="s">
        <v>71</v>
      </c>
      <c r="B34" s="3" t="s">
        <v>104</v>
      </c>
      <c r="C34" s="3" t="s">
        <v>105</v>
      </c>
      <c r="D34" s="3" t="s">
        <v>106</v>
      </c>
      <c r="E34" s="3" t="s">
        <v>117</v>
      </c>
      <c r="F34" s="3"/>
      <c r="G34" s="5">
        <v>260000</v>
      </c>
      <c r="H34" s="5" t="s">
        <v>76</v>
      </c>
      <c r="I34" s="6"/>
      <c r="J34" s="3"/>
      <c r="K34" s="7">
        <v>0.93</v>
      </c>
      <c r="L34" s="8"/>
      <c r="M34" s="8" t="s">
        <v>108</v>
      </c>
      <c r="N34" s="8" t="s">
        <v>109</v>
      </c>
      <c r="O34" s="8"/>
      <c r="P34" s="9">
        <v>5680</v>
      </c>
      <c r="Q34" s="26">
        <f t="shared" si="0"/>
        <v>2840</v>
      </c>
      <c r="R34" s="26">
        <f t="shared" si="1"/>
        <v>5240</v>
      </c>
      <c r="S34">
        <f t="shared" si="2"/>
        <v>3300</v>
      </c>
    </row>
    <row r="35" spans="1:19" x14ac:dyDescent="0.3">
      <c r="A35" s="2" t="s">
        <v>71</v>
      </c>
      <c r="B35" s="4" t="s">
        <v>104</v>
      </c>
      <c r="C35" s="4" t="s">
        <v>105</v>
      </c>
      <c r="D35" s="4" t="s">
        <v>106</v>
      </c>
      <c r="E35" s="4" t="s">
        <v>118</v>
      </c>
      <c r="F35" s="4"/>
      <c r="G35" s="10">
        <v>310000</v>
      </c>
      <c r="H35" s="10" t="s">
        <v>76</v>
      </c>
      <c r="I35" s="11"/>
      <c r="J35" s="4"/>
      <c r="K35" s="12">
        <v>0.93</v>
      </c>
      <c r="L35" s="13"/>
      <c r="M35" s="13" t="s">
        <v>108</v>
      </c>
      <c r="N35" s="13" t="s">
        <v>109</v>
      </c>
      <c r="O35" s="13"/>
      <c r="P35" s="14">
        <v>6450</v>
      </c>
      <c r="Q35" s="26">
        <f t="shared" si="0"/>
        <v>3225</v>
      </c>
      <c r="R35" s="26">
        <f t="shared" si="1"/>
        <v>5625</v>
      </c>
      <c r="S35">
        <f t="shared" si="2"/>
        <v>3550</v>
      </c>
    </row>
    <row r="36" spans="1:19" x14ac:dyDescent="0.3">
      <c r="A36" s="1" t="s">
        <v>71</v>
      </c>
      <c r="B36" s="3" t="s">
        <v>104</v>
      </c>
      <c r="C36" s="3" t="s">
        <v>105</v>
      </c>
      <c r="D36" s="3" t="s">
        <v>106</v>
      </c>
      <c r="E36" s="3" t="s">
        <v>119</v>
      </c>
      <c r="F36" s="3"/>
      <c r="G36" s="5">
        <v>55000</v>
      </c>
      <c r="H36" s="5" t="s">
        <v>76</v>
      </c>
      <c r="I36" s="6"/>
      <c r="J36" s="3"/>
      <c r="K36" s="7">
        <v>0.93</v>
      </c>
      <c r="L36" s="8"/>
      <c r="M36" s="8" t="s">
        <v>108</v>
      </c>
      <c r="N36" s="8" t="s">
        <v>109</v>
      </c>
      <c r="O36" s="8"/>
      <c r="P36" s="9">
        <v>2210</v>
      </c>
      <c r="Q36" s="26">
        <f t="shared" si="0"/>
        <v>1105</v>
      </c>
      <c r="R36" s="26">
        <f t="shared" si="1"/>
        <v>3505</v>
      </c>
      <c r="S36">
        <f t="shared" si="2"/>
        <v>2275</v>
      </c>
    </row>
    <row r="37" spans="1:19" x14ac:dyDescent="0.3">
      <c r="A37" s="2" t="s">
        <v>71</v>
      </c>
      <c r="B37" s="4" t="s">
        <v>104</v>
      </c>
      <c r="C37" s="4" t="s">
        <v>105</v>
      </c>
      <c r="D37" s="4" t="s">
        <v>106</v>
      </c>
      <c r="E37" s="4" t="s">
        <v>120</v>
      </c>
      <c r="F37" s="4"/>
      <c r="G37" s="10">
        <v>65000</v>
      </c>
      <c r="H37" s="10" t="s">
        <v>76</v>
      </c>
      <c r="I37" s="11"/>
      <c r="J37" s="4"/>
      <c r="K37" s="12">
        <v>0.93</v>
      </c>
      <c r="L37" s="13"/>
      <c r="M37" s="13" t="s">
        <v>108</v>
      </c>
      <c r="N37" s="13" t="s">
        <v>109</v>
      </c>
      <c r="O37" s="13"/>
      <c r="P37" s="14">
        <v>2410</v>
      </c>
      <c r="Q37" s="26">
        <f t="shared" si="0"/>
        <v>1205</v>
      </c>
      <c r="R37" s="26">
        <f t="shared" si="1"/>
        <v>3605</v>
      </c>
      <c r="S37">
        <f t="shared" si="2"/>
        <v>2325</v>
      </c>
    </row>
    <row r="38" spans="1:19" x14ac:dyDescent="0.3">
      <c r="A38" s="1" t="s">
        <v>71</v>
      </c>
      <c r="B38" s="3" t="s">
        <v>104</v>
      </c>
      <c r="C38" s="3" t="s">
        <v>105</v>
      </c>
      <c r="D38" s="3" t="s">
        <v>106</v>
      </c>
      <c r="E38" s="3" t="s">
        <v>121</v>
      </c>
      <c r="F38" s="3"/>
      <c r="G38" s="5">
        <v>85000</v>
      </c>
      <c r="H38" s="5" t="s">
        <v>76</v>
      </c>
      <c r="I38" s="6"/>
      <c r="J38" s="3"/>
      <c r="K38" s="7">
        <v>0.93</v>
      </c>
      <c r="L38" s="8"/>
      <c r="M38" s="8" t="s">
        <v>108</v>
      </c>
      <c r="N38" s="8" t="s">
        <v>109</v>
      </c>
      <c r="O38" s="8"/>
      <c r="P38" s="9">
        <v>2940</v>
      </c>
      <c r="Q38" s="26">
        <f t="shared" si="0"/>
        <v>1470</v>
      </c>
      <c r="R38" s="26">
        <f t="shared" si="1"/>
        <v>3870</v>
      </c>
      <c r="S38">
        <f t="shared" si="2"/>
        <v>2425</v>
      </c>
    </row>
    <row r="39" spans="1:19" x14ac:dyDescent="0.3">
      <c r="A39" s="4" t="s">
        <v>71</v>
      </c>
      <c r="B39" s="4" t="s">
        <v>122</v>
      </c>
      <c r="C39" s="4" t="s">
        <v>123</v>
      </c>
      <c r="D39" s="4" t="s">
        <v>124</v>
      </c>
      <c r="E39" s="4" t="s">
        <v>125</v>
      </c>
      <c r="F39" s="4"/>
      <c r="G39" s="19">
        <v>110000</v>
      </c>
      <c r="H39" s="10" t="s">
        <v>76</v>
      </c>
      <c r="I39" s="20"/>
      <c r="J39" s="21"/>
      <c r="K39" s="13">
        <v>0.93</v>
      </c>
      <c r="L39" s="13"/>
      <c r="M39" s="13" t="s">
        <v>108</v>
      </c>
      <c r="N39" s="13" t="s">
        <v>126</v>
      </c>
      <c r="O39" s="13"/>
      <c r="P39" s="14">
        <v>2124</v>
      </c>
      <c r="Q39" s="26">
        <f t="shared" si="0"/>
        <v>1062</v>
      </c>
      <c r="R39" s="26">
        <f t="shared" si="1"/>
        <v>3462</v>
      </c>
      <c r="S39">
        <f t="shared" si="2"/>
        <v>2550</v>
      </c>
    </row>
    <row r="40" spans="1:19" x14ac:dyDescent="0.3">
      <c r="A40" s="3" t="s">
        <v>71</v>
      </c>
      <c r="B40" s="3" t="s">
        <v>122</v>
      </c>
      <c r="C40" s="3" t="s">
        <v>123</v>
      </c>
      <c r="D40" s="3" t="s">
        <v>124</v>
      </c>
      <c r="E40" s="3" t="s">
        <v>127</v>
      </c>
      <c r="F40" s="3"/>
      <c r="G40" s="15">
        <v>130000</v>
      </c>
      <c r="H40" s="5" t="s">
        <v>76</v>
      </c>
      <c r="I40" s="16"/>
      <c r="J40" s="17"/>
      <c r="K40" s="18">
        <v>0.93</v>
      </c>
      <c r="L40" s="8"/>
      <c r="M40" s="8" t="s">
        <v>108</v>
      </c>
      <c r="N40" s="8" t="s">
        <v>126</v>
      </c>
      <c r="O40" s="8"/>
      <c r="P40" s="9">
        <v>4500</v>
      </c>
      <c r="Q40" s="26">
        <f t="shared" si="0"/>
        <v>2250</v>
      </c>
      <c r="R40" s="26">
        <f t="shared" si="1"/>
        <v>4650</v>
      </c>
      <c r="S40">
        <f t="shared" si="2"/>
        <v>2650</v>
      </c>
    </row>
    <row r="41" spans="1:19" x14ac:dyDescent="0.3">
      <c r="A41" s="4" t="s">
        <v>71</v>
      </c>
      <c r="B41" s="4" t="s">
        <v>122</v>
      </c>
      <c r="C41" s="4" t="s">
        <v>123</v>
      </c>
      <c r="D41" s="4" t="s">
        <v>124</v>
      </c>
      <c r="E41" s="4" t="s">
        <v>128</v>
      </c>
      <c r="F41" s="4"/>
      <c r="G41" s="19">
        <v>175000</v>
      </c>
      <c r="H41" s="10" t="s">
        <v>76</v>
      </c>
      <c r="I41" s="20"/>
      <c r="J41" s="21"/>
      <c r="K41" s="22">
        <v>0.91</v>
      </c>
      <c r="L41" s="13"/>
      <c r="M41" s="13" t="s">
        <v>108</v>
      </c>
      <c r="N41" s="13" t="s">
        <v>126</v>
      </c>
      <c r="O41" s="13"/>
      <c r="P41" s="14">
        <v>5000</v>
      </c>
      <c r="Q41" s="26">
        <f t="shared" si="0"/>
        <v>2500</v>
      </c>
      <c r="R41" s="26">
        <f t="shared" si="1"/>
        <v>4900</v>
      </c>
      <c r="S41">
        <f t="shared" si="2"/>
        <v>2875</v>
      </c>
    </row>
    <row r="42" spans="1:19" x14ac:dyDescent="0.3">
      <c r="A42" s="3" t="s">
        <v>71</v>
      </c>
      <c r="B42" s="3" t="s">
        <v>122</v>
      </c>
      <c r="C42" s="3" t="s">
        <v>123</v>
      </c>
      <c r="D42" s="3" t="s">
        <v>124</v>
      </c>
      <c r="E42" s="3" t="s">
        <v>129</v>
      </c>
      <c r="F42" s="3"/>
      <c r="G42" s="15">
        <v>260000</v>
      </c>
      <c r="H42" s="5" t="s">
        <v>76</v>
      </c>
      <c r="I42" s="16"/>
      <c r="J42" s="17"/>
      <c r="K42" s="18">
        <v>0.92</v>
      </c>
      <c r="L42" s="8"/>
      <c r="M42" s="8" t="s">
        <v>108</v>
      </c>
      <c r="N42" s="8" t="s">
        <v>126</v>
      </c>
      <c r="O42" s="8"/>
      <c r="P42" s="9">
        <v>6100</v>
      </c>
      <c r="Q42" s="26">
        <f t="shared" si="0"/>
        <v>3050</v>
      </c>
      <c r="R42" s="26">
        <f t="shared" si="1"/>
        <v>5450</v>
      </c>
      <c r="S42">
        <f t="shared" si="2"/>
        <v>3300</v>
      </c>
    </row>
    <row r="43" spans="1:19" x14ac:dyDescent="0.3">
      <c r="A43" s="4" t="s">
        <v>71</v>
      </c>
      <c r="B43" s="4" t="s">
        <v>122</v>
      </c>
      <c r="C43" s="4" t="s">
        <v>123</v>
      </c>
      <c r="D43" s="4" t="s">
        <v>124</v>
      </c>
      <c r="E43" s="4" t="s">
        <v>130</v>
      </c>
      <c r="F43" s="4"/>
      <c r="G43" s="19">
        <v>305000</v>
      </c>
      <c r="H43" s="10" t="s">
        <v>76</v>
      </c>
      <c r="I43" s="20"/>
      <c r="J43" s="21"/>
      <c r="K43" s="22">
        <v>0.91</v>
      </c>
      <c r="L43" s="13"/>
      <c r="M43" s="13" t="s">
        <v>108</v>
      </c>
      <c r="N43" s="13" t="s">
        <v>126</v>
      </c>
      <c r="O43" s="13"/>
      <c r="P43" s="14">
        <v>7500</v>
      </c>
      <c r="Q43" s="26">
        <f t="shared" si="0"/>
        <v>3750</v>
      </c>
      <c r="R43" s="26">
        <f t="shared" si="1"/>
        <v>6150</v>
      </c>
      <c r="S43">
        <f t="shared" si="2"/>
        <v>3525</v>
      </c>
    </row>
    <row r="44" spans="1:19" x14ac:dyDescent="0.3">
      <c r="A44" s="3" t="s">
        <v>71</v>
      </c>
      <c r="B44" s="3" t="s">
        <v>122</v>
      </c>
      <c r="C44" s="3" t="s">
        <v>123</v>
      </c>
      <c r="D44" s="3" t="s">
        <v>124</v>
      </c>
      <c r="E44" s="3" t="s">
        <v>131</v>
      </c>
      <c r="F44" s="3"/>
      <c r="G44" s="15">
        <v>55000</v>
      </c>
      <c r="H44" s="5" t="s">
        <v>76</v>
      </c>
      <c r="I44" s="16"/>
      <c r="J44" s="17"/>
      <c r="K44" s="8">
        <v>0.93</v>
      </c>
      <c r="L44" s="8"/>
      <c r="M44" s="8" t="s">
        <v>108</v>
      </c>
      <c r="N44" s="8" t="s">
        <v>126</v>
      </c>
      <c r="O44" s="8"/>
      <c r="P44" s="9">
        <v>1310.26</v>
      </c>
      <c r="Q44" s="26">
        <f t="shared" si="0"/>
        <v>655.13</v>
      </c>
      <c r="R44" s="26">
        <f t="shared" si="1"/>
        <v>3055.13</v>
      </c>
      <c r="S44">
        <f t="shared" si="2"/>
        <v>2275</v>
      </c>
    </row>
    <row r="45" spans="1:19" x14ac:dyDescent="0.3">
      <c r="A45" s="4" t="s">
        <v>71</v>
      </c>
      <c r="B45" s="4" t="s">
        <v>122</v>
      </c>
      <c r="C45" s="4" t="s">
        <v>123</v>
      </c>
      <c r="D45" s="4" t="s">
        <v>124</v>
      </c>
      <c r="E45" s="4" t="s">
        <v>132</v>
      </c>
      <c r="F45" s="4"/>
      <c r="G45" s="19">
        <v>85000</v>
      </c>
      <c r="H45" s="10" t="s">
        <v>76</v>
      </c>
      <c r="I45" s="20"/>
      <c r="J45" s="21"/>
      <c r="K45" s="13">
        <v>0.93</v>
      </c>
      <c r="L45" s="13"/>
      <c r="M45" s="13" t="s">
        <v>108</v>
      </c>
      <c r="N45" s="13" t="s">
        <v>126</v>
      </c>
      <c r="O45" s="13"/>
      <c r="P45" s="14">
        <v>1775</v>
      </c>
      <c r="Q45" s="26">
        <f t="shared" si="0"/>
        <v>887.5</v>
      </c>
      <c r="R45" s="26">
        <f t="shared" si="1"/>
        <v>3287.5</v>
      </c>
      <c r="S45">
        <f t="shared" si="2"/>
        <v>2425</v>
      </c>
    </row>
    <row r="46" spans="1:19" x14ac:dyDescent="0.3">
      <c r="A46" s="1" t="s">
        <v>71</v>
      </c>
      <c r="B46" s="3" t="s">
        <v>133</v>
      </c>
      <c r="C46" s="3" t="s">
        <v>124</v>
      </c>
      <c r="D46" s="3" t="s">
        <v>124</v>
      </c>
      <c r="E46" s="3" t="s">
        <v>134</v>
      </c>
      <c r="F46" s="3"/>
      <c r="G46" s="5">
        <v>130000</v>
      </c>
      <c r="H46" s="5" t="s">
        <v>76</v>
      </c>
      <c r="I46" s="6"/>
      <c r="J46" s="3"/>
      <c r="K46" s="7">
        <v>0.93</v>
      </c>
      <c r="L46" s="8"/>
      <c r="M46" s="8" t="s">
        <v>135</v>
      </c>
      <c r="N46" s="8" t="s">
        <v>126</v>
      </c>
      <c r="O46" s="8"/>
      <c r="P46" s="9">
        <v>3730</v>
      </c>
      <c r="Q46" s="26">
        <f t="shared" si="0"/>
        <v>1865</v>
      </c>
      <c r="R46" s="26">
        <f t="shared" si="1"/>
        <v>4265</v>
      </c>
      <c r="S46">
        <f t="shared" si="2"/>
        <v>2650</v>
      </c>
    </row>
    <row r="47" spans="1:19" x14ac:dyDescent="0.3">
      <c r="A47" s="2" t="s">
        <v>71</v>
      </c>
      <c r="B47" s="4" t="s">
        <v>133</v>
      </c>
      <c r="C47" s="4" t="s">
        <v>124</v>
      </c>
      <c r="D47" s="4" t="s">
        <v>124</v>
      </c>
      <c r="E47" s="4" t="s">
        <v>136</v>
      </c>
      <c r="F47" s="4"/>
      <c r="G47" s="10">
        <v>180000</v>
      </c>
      <c r="H47" s="10" t="s">
        <v>76</v>
      </c>
      <c r="I47" s="11"/>
      <c r="J47" s="4"/>
      <c r="K47" s="12">
        <v>0.91</v>
      </c>
      <c r="L47" s="13"/>
      <c r="M47" s="13" t="s">
        <v>135</v>
      </c>
      <c r="N47" s="13" t="s">
        <v>126</v>
      </c>
      <c r="O47" s="13"/>
      <c r="P47" s="14">
        <v>4100</v>
      </c>
      <c r="Q47" s="26">
        <f t="shared" si="0"/>
        <v>2050</v>
      </c>
      <c r="R47" s="26">
        <f t="shared" si="1"/>
        <v>4450</v>
      </c>
      <c r="S47">
        <f t="shared" si="2"/>
        <v>2900</v>
      </c>
    </row>
    <row r="48" spans="1:19" x14ac:dyDescent="0.3">
      <c r="A48" s="1" t="s">
        <v>71</v>
      </c>
      <c r="B48" s="3" t="s">
        <v>133</v>
      </c>
      <c r="C48" s="3" t="s">
        <v>124</v>
      </c>
      <c r="D48" s="3" t="s">
        <v>124</v>
      </c>
      <c r="E48" s="3" t="s">
        <v>137</v>
      </c>
      <c r="F48" s="3"/>
      <c r="G48" s="5">
        <v>260000</v>
      </c>
      <c r="H48" s="5" t="s">
        <v>76</v>
      </c>
      <c r="I48" s="6"/>
      <c r="J48" s="3"/>
      <c r="K48" s="7">
        <v>0.92</v>
      </c>
      <c r="L48" s="8"/>
      <c r="M48" s="8" t="s">
        <v>135</v>
      </c>
      <c r="N48" s="8" t="s">
        <v>126</v>
      </c>
      <c r="O48" s="8"/>
      <c r="P48" s="9">
        <v>5190</v>
      </c>
      <c r="Q48" s="26">
        <f t="shared" si="0"/>
        <v>2595</v>
      </c>
      <c r="R48" s="26">
        <f t="shared" si="1"/>
        <v>4995</v>
      </c>
      <c r="S48">
        <f t="shared" si="2"/>
        <v>3300</v>
      </c>
    </row>
    <row r="49" spans="1:19" x14ac:dyDescent="0.3">
      <c r="A49" s="2" t="s">
        <v>71</v>
      </c>
      <c r="B49" s="4" t="s">
        <v>133</v>
      </c>
      <c r="C49" s="4" t="s">
        <v>124</v>
      </c>
      <c r="D49" s="4" t="s">
        <v>124</v>
      </c>
      <c r="E49" s="4" t="s">
        <v>138</v>
      </c>
      <c r="F49" s="4"/>
      <c r="G49" s="10">
        <v>310000</v>
      </c>
      <c r="H49" s="10" t="s">
        <v>76</v>
      </c>
      <c r="I49" s="11"/>
      <c r="J49" s="4"/>
      <c r="K49" s="12">
        <v>0.91</v>
      </c>
      <c r="L49" s="13"/>
      <c r="M49" s="13" t="s">
        <v>135</v>
      </c>
      <c r="N49" s="13" t="s">
        <v>126</v>
      </c>
      <c r="O49" s="13"/>
      <c r="P49" s="14">
        <v>6390</v>
      </c>
      <c r="Q49" s="26">
        <f t="shared" si="0"/>
        <v>3195</v>
      </c>
      <c r="R49" s="26">
        <f t="shared" si="1"/>
        <v>5595</v>
      </c>
      <c r="S49">
        <f t="shared" si="2"/>
        <v>3550</v>
      </c>
    </row>
    <row r="50" spans="1:19" x14ac:dyDescent="0.3">
      <c r="A50" s="3" t="s">
        <v>71</v>
      </c>
      <c r="B50" s="3" t="s">
        <v>139</v>
      </c>
      <c r="C50" s="3" t="s">
        <v>139</v>
      </c>
      <c r="D50" s="3" t="s">
        <v>139</v>
      </c>
      <c r="E50" s="3" t="s">
        <v>140</v>
      </c>
      <c r="F50" s="3"/>
      <c r="G50" s="15">
        <v>100000</v>
      </c>
      <c r="H50" s="5" t="s">
        <v>76</v>
      </c>
      <c r="I50" s="16"/>
      <c r="J50" s="17"/>
      <c r="K50" s="18">
        <v>0.95499999999999996</v>
      </c>
      <c r="L50" s="8"/>
      <c r="M50" s="8" t="s">
        <v>141</v>
      </c>
      <c r="N50" s="8" t="s">
        <v>78</v>
      </c>
      <c r="O50" s="8"/>
      <c r="P50" s="9">
        <v>5015</v>
      </c>
      <c r="Q50" s="26">
        <f t="shared" si="0"/>
        <v>2507.5</v>
      </c>
      <c r="R50" s="26">
        <f t="shared" si="1"/>
        <v>4907.5</v>
      </c>
      <c r="S50">
        <f t="shared" si="2"/>
        <v>2500</v>
      </c>
    </row>
    <row r="51" spans="1:19" x14ac:dyDescent="0.3">
      <c r="A51" s="4" t="s">
        <v>71</v>
      </c>
      <c r="B51" s="4" t="s">
        <v>139</v>
      </c>
      <c r="C51" s="4" t="s">
        <v>139</v>
      </c>
      <c r="D51" s="4" t="s">
        <v>139</v>
      </c>
      <c r="E51" s="4" t="s">
        <v>142</v>
      </c>
      <c r="F51" s="4"/>
      <c r="G51" s="19">
        <v>120000</v>
      </c>
      <c r="H51" s="10" t="s">
        <v>76</v>
      </c>
      <c r="I51" s="20"/>
      <c r="J51" s="21"/>
      <c r="K51" s="22">
        <v>0.95199999999999996</v>
      </c>
      <c r="L51" s="13"/>
      <c r="M51" s="13" t="s">
        <v>141</v>
      </c>
      <c r="N51" s="13" t="s">
        <v>78</v>
      </c>
      <c r="O51" s="13"/>
      <c r="P51" s="14">
        <v>5240</v>
      </c>
      <c r="Q51" s="26">
        <f t="shared" si="0"/>
        <v>2620</v>
      </c>
      <c r="R51" s="26">
        <f t="shared" si="1"/>
        <v>5020</v>
      </c>
      <c r="S51">
        <f t="shared" si="2"/>
        <v>2600</v>
      </c>
    </row>
    <row r="52" spans="1:19" x14ac:dyDescent="0.3">
      <c r="A52" s="3" t="s">
        <v>71</v>
      </c>
      <c r="B52" s="3" t="s">
        <v>139</v>
      </c>
      <c r="C52" s="3" t="s">
        <v>139</v>
      </c>
      <c r="D52" s="3" t="s">
        <v>139</v>
      </c>
      <c r="E52" s="3" t="s">
        <v>143</v>
      </c>
      <c r="F52" s="3"/>
      <c r="G52" s="15">
        <v>120000</v>
      </c>
      <c r="H52" s="5" t="s">
        <v>76</v>
      </c>
      <c r="I52" s="16"/>
      <c r="J52" s="17"/>
      <c r="K52" s="18">
        <v>0.95</v>
      </c>
      <c r="L52" s="8"/>
      <c r="M52" s="8" t="s">
        <v>141</v>
      </c>
      <c r="N52" s="8" t="s">
        <v>78</v>
      </c>
      <c r="O52" s="8"/>
      <c r="P52" s="9">
        <v>5600</v>
      </c>
      <c r="Q52" s="26">
        <f t="shared" si="0"/>
        <v>2800</v>
      </c>
      <c r="R52" s="26">
        <f t="shared" si="1"/>
        <v>5200</v>
      </c>
      <c r="S52">
        <f t="shared" si="2"/>
        <v>2600</v>
      </c>
    </row>
    <row r="53" spans="1:19" x14ac:dyDescent="0.3">
      <c r="A53" s="4" t="s">
        <v>71</v>
      </c>
      <c r="B53" s="4" t="s">
        <v>139</v>
      </c>
      <c r="C53" s="4" t="s">
        <v>139</v>
      </c>
      <c r="D53" s="4" t="s">
        <v>139</v>
      </c>
      <c r="E53" s="4" t="s">
        <v>144</v>
      </c>
      <c r="F53" s="4"/>
      <c r="G53" s="19">
        <v>150000</v>
      </c>
      <c r="H53" s="10" t="s">
        <v>76</v>
      </c>
      <c r="I53" s="20"/>
      <c r="J53" s="21"/>
      <c r="K53" s="22">
        <v>0.95499999999999996</v>
      </c>
      <c r="L53" s="13"/>
      <c r="M53" s="13" t="s">
        <v>141</v>
      </c>
      <c r="N53" s="13" t="s">
        <v>78</v>
      </c>
      <c r="O53" s="13"/>
      <c r="P53" s="14">
        <v>5765</v>
      </c>
      <c r="Q53" s="26">
        <f t="shared" si="0"/>
        <v>2882.5</v>
      </c>
      <c r="R53" s="26">
        <f t="shared" si="1"/>
        <v>5282.5</v>
      </c>
      <c r="S53">
        <f t="shared" si="2"/>
        <v>2750</v>
      </c>
    </row>
    <row r="54" spans="1:19" x14ac:dyDescent="0.3">
      <c r="A54" s="3" t="s">
        <v>71</v>
      </c>
      <c r="B54" s="3" t="s">
        <v>139</v>
      </c>
      <c r="C54" s="3" t="s">
        <v>139</v>
      </c>
      <c r="D54" s="3" t="s">
        <v>139</v>
      </c>
      <c r="E54" s="3" t="s">
        <v>145</v>
      </c>
      <c r="F54" s="3"/>
      <c r="G54" s="15">
        <v>180000</v>
      </c>
      <c r="H54" s="5" t="s">
        <v>76</v>
      </c>
      <c r="I54" s="16"/>
      <c r="J54" s="17"/>
      <c r="K54" s="18">
        <v>0.95199999999999996</v>
      </c>
      <c r="L54" s="8"/>
      <c r="M54" s="8" t="s">
        <v>141</v>
      </c>
      <c r="N54" s="8" t="s">
        <v>78</v>
      </c>
      <c r="O54" s="8"/>
      <c r="P54" s="9">
        <v>6205</v>
      </c>
      <c r="Q54" s="26">
        <f t="shared" si="0"/>
        <v>3102.5</v>
      </c>
      <c r="R54" s="26">
        <f t="shared" si="1"/>
        <v>5502.5</v>
      </c>
      <c r="S54">
        <f t="shared" si="2"/>
        <v>2900</v>
      </c>
    </row>
    <row r="55" spans="1:19" x14ac:dyDescent="0.3">
      <c r="A55" s="4" t="s">
        <v>71</v>
      </c>
      <c r="B55" s="4" t="s">
        <v>139</v>
      </c>
      <c r="C55" s="4" t="s">
        <v>139</v>
      </c>
      <c r="D55" s="4" t="s">
        <v>139</v>
      </c>
      <c r="E55" s="4" t="s">
        <v>146</v>
      </c>
      <c r="F55" s="4"/>
      <c r="G55" s="19">
        <v>180000</v>
      </c>
      <c r="H55" s="10" t="s">
        <v>76</v>
      </c>
      <c r="I55" s="20"/>
      <c r="J55" s="21"/>
      <c r="K55" s="22">
        <v>0.95299999999999996</v>
      </c>
      <c r="L55" s="13"/>
      <c r="M55" s="13" t="s">
        <v>141</v>
      </c>
      <c r="N55" s="13" t="s">
        <v>78</v>
      </c>
      <c r="O55" s="13"/>
      <c r="P55" s="14">
        <v>6500</v>
      </c>
      <c r="Q55" s="26">
        <f t="shared" si="0"/>
        <v>3250</v>
      </c>
      <c r="R55" s="26">
        <f t="shared" si="1"/>
        <v>5650</v>
      </c>
      <c r="S55">
        <f t="shared" si="2"/>
        <v>2900</v>
      </c>
    </row>
    <row r="56" spans="1:19" x14ac:dyDescent="0.3">
      <c r="A56" s="3" t="s">
        <v>71</v>
      </c>
      <c r="B56" s="3" t="s">
        <v>139</v>
      </c>
      <c r="C56" s="3" t="s">
        <v>139</v>
      </c>
      <c r="D56" s="3" t="s">
        <v>139</v>
      </c>
      <c r="E56" s="3" t="s">
        <v>147</v>
      </c>
      <c r="F56" s="3"/>
      <c r="G56" s="15">
        <v>295000</v>
      </c>
      <c r="H56" s="5" t="s">
        <v>76</v>
      </c>
      <c r="I56" s="16"/>
      <c r="J56" s="17"/>
      <c r="K56" s="18">
        <v>0.95099999999999996</v>
      </c>
      <c r="L56" s="8"/>
      <c r="M56" s="8" t="s">
        <v>141</v>
      </c>
      <c r="N56" s="8" t="s">
        <v>78</v>
      </c>
      <c r="O56" s="8"/>
      <c r="P56" s="9">
        <v>12355</v>
      </c>
      <c r="Q56" s="26">
        <f t="shared" si="0"/>
        <v>6177.5</v>
      </c>
      <c r="R56" s="26">
        <f t="shared" si="1"/>
        <v>8577.5</v>
      </c>
      <c r="S56">
        <f t="shared" si="2"/>
        <v>3475</v>
      </c>
    </row>
    <row r="57" spans="1:19" x14ac:dyDescent="0.3">
      <c r="A57" s="4" t="s">
        <v>71</v>
      </c>
      <c r="B57" s="4" t="s">
        <v>139</v>
      </c>
      <c r="C57" s="4" t="s">
        <v>139</v>
      </c>
      <c r="D57" s="4" t="s">
        <v>139</v>
      </c>
      <c r="E57" s="4" t="s">
        <v>148</v>
      </c>
      <c r="F57" s="4"/>
      <c r="G57" s="19">
        <v>396000</v>
      </c>
      <c r="H57" s="10" t="s">
        <v>76</v>
      </c>
      <c r="I57" s="20"/>
      <c r="J57" s="21"/>
      <c r="K57" s="22">
        <v>0.95499999999999996</v>
      </c>
      <c r="L57" s="13"/>
      <c r="M57" s="13" t="s">
        <v>141</v>
      </c>
      <c r="N57" s="13" t="s">
        <v>78</v>
      </c>
      <c r="O57" s="13"/>
      <c r="P57" s="14">
        <v>14770</v>
      </c>
      <c r="Q57" s="26">
        <f t="shared" si="0"/>
        <v>7385</v>
      </c>
      <c r="R57" s="26">
        <f t="shared" si="1"/>
        <v>9785</v>
      </c>
      <c r="S57">
        <f t="shared" si="2"/>
        <v>3980</v>
      </c>
    </row>
    <row r="58" spans="1:19" x14ac:dyDescent="0.3">
      <c r="A58" s="3" t="s">
        <v>71</v>
      </c>
      <c r="B58" s="3" t="s">
        <v>139</v>
      </c>
      <c r="C58" s="3" t="s">
        <v>139</v>
      </c>
      <c r="D58" s="3" t="s">
        <v>139</v>
      </c>
      <c r="E58" s="3" t="s">
        <v>149</v>
      </c>
      <c r="F58" s="3"/>
      <c r="G58" s="15">
        <v>500000</v>
      </c>
      <c r="H58" s="5" t="s">
        <v>76</v>
      </c>
      <c r="I58" s="16"/>
      <c r="J58" s="17"/>
      <c r="K58" s="18">
        <v>0.95099999999999996</v>
      </c>
      <c r="L58" s="8"/>
      <c r="M58" s="8" t="s">
        <v>141</v>
      </c>
      <c r="N58" s="8" t="s">
        <v>78</v>
      </c>
      <c r="O58" s="8"/>
      <c r="P58" s="9">
        <v>20170</v>
      </c>
      <c r="Q58" s="26">
        <f t="shared" si="0"/>
        <v>10085</v>
      </c>
      <c r="R58" s="26">
        <f t="shared" si="1"/>
        <v>12485</v>
      </c>
      <c r="S58">
        <f t="shared" si="2"/>
        <v>4500</v>
      </c>
    </row>
    <row r="59" spans="1:19" x14ac:dyDescent="0.3">
      <c r="A59" s="4" t="s">
        <v>71</v>
      </c>
      <c r="B59" s="4" t="s">
        <v>139</v>
      </c>
      <c r="C59" s="4" t="s">
        <v>139</v>
      </c>
      <c r="D59" s="4" t="s">
        <v>139</v>
      </c>
      <c r="E59" s="4" t="s">
        <v>150</v>
      </c>
      <c r="F59" s="4"/>
      <c r="G59" s="19">
        <v>80000</v>
      </c>
      <c r="H59" s="10" t="s">
        <v>76</v>
      </c>
      <c r="I59" s="20"/>
      <c r="J59" s="21"/>
      <c r="K59" s="22">
        <v>0.95699999999999996</v>
      </c>
      <c r="L59" s="13"/>
      <c r="M59" s="13" t="s">
        <v>141</v>
      </c>
      <c r="N59" s="13" t="s">
        <v>78</v>
      </c>
      <c r="O59" s="13"/>
      <c r="P59" s="14">
        <v>5005</v>
      </c>
      <c r="Q59" s="26">
        <f t="shared" si="0"/>
        <v>2502.5</v>
      </c>
      <c r="R59" s="26">
        <f t="shared" si="1"/>
        <v>4902.5</v>
      </c>
      <c r="S59">
        <f t="shared" si="2"/>
        <v>2400</v>
      </c>
    </row>
    <row r="60" spans="1:19" x14ac:dyDescent="0.3">
      <c r="A60" s="3" t="s">
        <v>71</v>
      </c>
      <c r="B60" s="3" t="s">
        <v>139</v>
      </c>
      <c r="C60" s="3" t="s">
        <v>139</v>
      </c>
      <c r="D60" s="3" t="s">
        <v>139</v>
      </c>
      <c r="E60" s="3" t="s">
        <v>151</v>
      </c>
      <c r="F60" s="3"/>
      <c r="G60" s="15">
        <v>90000</v>
      </c>
      <c r="H60" s="5" t="s">
        <v>76</v>
      </c>
      <c r="I60" s="16"/>
      <c r="J60" s="17"/>
      <c r="K60" s="18">
        <v>0.95699999999999996</v>
      </c>
      <c r="L60" s="8"/>
      <c r="M60" s="8" t="s">
        <v>141</v>
      </c>
      <c r="N60" s="8" t="s">
        <v>78</v>
      </c>
      <c r="O60" s="8"/>
      <c r="P60" s="9">
        <v>5010</v>
      </c>
      <c r="Q60" s="26">
        <f t="shared" si="0"/>
        <v>2505</v>
      </c>
      <c r="R60" s="26">
        <f t="shared" si="1"/>
        <v>4905</v>
      </c>
      <c r="S60">
        <f t="shared" si="2"/>
        <v>2450</v>
      </c>
    </row>
    <row r="61" spans="1:19" x14ac:dyDescent="0.3">
      <c r="A61" s="4" t="s">
        <v>71</v>
      </c>
      <c r="B61" s="4" t="s">
        <v>152</v>
      </c>
      <c r="C61" s="4" t="s">
        <v>153</v>
      </c>
      <c r="D61" s="4" t="s">
        <v>154</v>
      </c>
      <c r="E61" s="4" t="s">
        <v>155</v>
      </c>
      <c r="F61" s="4"/>
      <c r="G61" s="19">
        <v>114000</v>
      </c>
      <c r="H61" s="10" t="s">
        <v>76</v>
      </c>
      <c r="I61" s="20"/>
      <c r="J61" s="21"/>
      <c r="K61" s="22">
        <v>0.96040000000000003</v>
      </c>
      <c r="L61" s="13"/>
      <c r="M61" s="13" t="s">
        <v>77</v>
      </c>
      <c r="N61" s="13" t="s">
        <v>78</v>
      </c>
      <c r="O61" s="13"/>
      <c r="P61" s="14">
        <v>2400</v>
      </c>
      <c r="Q61" s="26">
        <f t="shared" si="0"/>
        <v>1200</v>
      </c>
      <c r="R61" s="26">
        <f t="shared" si="1"/>
        <v>3600</v>
      </c>
      <c r="S61">
        <f t="shared" si="2"/>
        <v>2570</v>
      </c>
    </row>
    <row r="62" spans="1:19" x14ac:dyDescent="0.3">
      <c r="A62" s="3" t="s">
        <v>71</v>
      </c>
      <c r="B62" s="3" t="s">
        <v>152</v>
      </c>
      <c r="C62" s="3" t="s">
        <v>153</v>
      </c>
      <c r="D62" s="3" t="s">
        <v>154</v>
      </c>
      <c r="E62" s="3" t="s">
        <v>156</v>
      </c>
      <c r="F62" s="3"/>
      <c r="G62" s="15">
        <v>151000</v>
      </c>
      <c r="H62" s="5" t="s">
        <v>76</v>
      </c>
      <c r="I62" s="16"/>
      <c r="J62" s="17"/>
      <c r="K62" s="18">
        <v>0.95760000000000001</v>
      </c>
      <c r="L62" s="8"/>
      <c r="M62" s="8" t="s">
        <v>77</v>
      </c>
      <c r="N62" s="8" t="s">
        <v>78</v>
      </c>
      <c r="O62" s="8"/>
      <c r="P62" s="9">
        <v>2775</v>
      </c>
      <c r="Q62" s="26">
        <f t="shared" si="0"/>
        <v>1387.5</v>
      </c>
      <c r="R62" s="26">
        <f t="shared" si="1"/>
        <v>3787.5</v>
      </c>
      <c r="S62">
        <f t="shared" si="2"/>
        <v>2755</v>
      </c>
    </row>
    <row r="63" spans="1:19" x14ac:dyDescent="0.3">
      <c r="A63" s="4" t="s">
        <v>71</v>
      </c>
      <c r="B63" s="4" t="s">
        <v>152</v>
      </c>
      <c r="C63" s="4" t="s">
        <v>153</v>
      </c>
      <c r="D63" s="4" t="s">
        <v>154</v>
      </c>
      <c r="E63" s="4" t="s">
        <v>157</v>
      </c>
      <c r="F63" s="4"/>
      <c r="G63" s="19">
        <v>189000</v>
      </c>
      <c r="H63" s="10" t="s">
        <v>76</v>
      </c>
      <c r="I63" s="20"/>
      <c r="J63" s="21"/>
      <c r="K63" s="22">
        <v>0.96689999999999998</v>
      </c>
      <c r="L63" s="13"/>
      <c r="M63" s="13" t="s">
        <v>77</v>
      </c>
      <c r="N63" s="13" t="s">
        <v>78</v>
      </c>
      <c r="O63" s="13"/>
      <c r="P63" s="14">
        <v>3125</v>
      </c>
      <c r="Q63" s="26">
        <f t="shared" si="0"/>
        <v>1562.5</v>
      </c>
      <c r="R63" s="26">
        <f t="shared" si="1"/>
        <v>3962.5</v>
      </c>
      <c r="S63">
        <f t="shared" si="2"/>
        <v>2945</v>
      </c>
    </row>
    <row r="64" spans="1:19" x14ac:dyDescent="0.3">
      <c r="A64" s="3" t="s">
        <v>71</v>
      </c>
      <c r="B64" s="3" t="s">
        <v>152</v>
      </c>
      <c r="C64" s="3" t="s">
        <v>153</v>
      </c>
      <c r="D64" s="3" t="s">
        <v>154</v>
      </c>
      <c r="E64" s="3" t="s">
        <v>158</v>
      </c>
      <c r="F64" s="3"/>
      <c r="G64" s="15">
        <v>227000</v>
      </c>
      <c r="H64" s="5" t="s">
        <v>76</v>
      </c>
      <c r="I64" s="16"/>
      <c r="J64" s="17"/>
      <c r="K64" s="18">
        <v>0.9546</v>
      </c>
      <c r="L64" s="8"/>
      <c r="M64" s="8" t="s">
        <v>77</v>
      </c>
      <c r="N64" s="8" t="s">
        <v>78</v>
      </c>
      <c r="O64" s="8"/>
      <c r="P64" s="9">
        <v>3475</v>
      </c>
      <c r="Q64" s="26">
        <f t="shared" si="0"/>
        <v>1737.5</v>
      </c>
      <c r="R64" s="26">
        <f t="shared" si="1"/>
        <v>4137.5</v>
      </c>
      <c r="S64">
        <f t="shared" si="2"/>
        <v>3135</v>
      </c>
    </row>
    <row r="65" spans="1:19" x14ac:dyDescent="0.3">
      <c r="A65" s="4" t="s">
        <v>71</v>
      </c>
      <c r="B65" s="4" t="s">
        <v>152</v>
      </c>
      <c r="C65" s="4" t="s">
        <v>153</v>
      </c>
      <c r="D65" s="4" t="s">
        <v>154</v>
      </c>
      <c r="E65" s="4" t="s">
        <v>159</v>
      </c>
      <c r="F65" s="4"/>
      <c r="G65" s="19">
        <v>47000</v>
      </c>
      <c r="H65" s="10" t="s">
        <v>76</v>
      </c>
      <c r="I65" s="20"/>
      <c r="J65" s="21"/>
      <c r="K65" s="22">
        <v>0.9526</v>
      </c>
      <c r="L65" s="13"/>
      <c r="M65" s="13" t="s">
        <v>77</v>
      </c>
      <c r="N65" s="13" t="s">
        <v>78</v>
      </c>
      <c r="O65" s="13"/>
      <c r="P65" s="14">
        <v>1900</v>
      </c>
      <c r="Q65" s="26">
        <f t="shared" si="0"/>
        <v>950</v>
      </c>
      <c r="R65" s="26">
        <f t="shared" si="1"/>
        <v>3350</v>
      </c>
      <c r="S65">
        <f t="shared" si="2"/>
        <v>2235</v>
      </c>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AD8DA-AF82-4EC8-B09D-74C93C8B2652}">
  <sheetPr codeName="Sheet9"/>
  <dimension ref="B2:R22"/>
  <sheetViews>
    <sheetView workbookViewId="0">
      <selection activeCell="I13" sqref="I13"/>
    </sheetView>
  </sheetViews>
  <sheetFormatPr defaultColWidth="9.109375" defaultRowHeight="14.4" x14ac:dyDescent="0.3"/>
  <cols>
    <col min="2" max="2" width="30" bestFit="1" customWidth="1"/>
    <col min="3" max="3" width="7" bestFit="1" customWidth="1"/>
    <col min="5" max="5" width="16.33203125" bestFit="1" customWidth="1"/>
    <col min="6" max="7" width="17.6640625" bestFit="1" customWidth="1"/>
    <col min="11" max="11" width="30" bestFit="1" customWidth="1"/>
    <col min="12" max="12" width="7" bestFit="1" customWidth="1"/>
    <col min="14" max="14" width="23" bestFit="1" customWidth="1"/>
    <col min="15" max="15" width="9.5546875" customWidth="1"/>
    <col min="16" max="16" width="17.33203125" bestFit="1" customWidth="1"/>
    <col min="17" max="17" width="14.5546875" bestFit="1" customWidth="1"/>
    <col min="18" max="18" width="9.6640625" bestFit="1" customWidth="1"/>
  </cols>
  <sheetData>
    <row r="2" spans="2:18" ht="15.6" x14ac:dyDescent="0.3">
      <c r="B2" s="37" t="s">
        <v>35</v>
      </c>
      <c r="C2" s="37"/>
      <c r="D2" s="37"/>
      <c r="E2" s="37"/>
      <c r="F2" s="37"/>
      <c r="G2" s="37"/>
      <c r="H2" s="37"/>
      <c r="I2" s="37"/>
      <c r="J2" s="37"/>
      <c r="K2" s="37" t="s">
        <v>36</v>
      </c>
    </row>
    <row r="4" spans="2:18" x14ac:dyDescent="0.3">
      <c r="B4" s="27" t="s">
        <v>37</v>
      </c>
      <c r="K4" s="27"/>
    </row>
    <row r="6" spans="2:18" x14ac:dyDescent="0.3">
      <c r="B6" s="27" t="s">
        <v>25</v>
      </c>
      <c r="C6">
        <f>'Prix GN'!C2 / 100</f>
        <v>0.17807999999999999</v>
      </c>
      <c r="E6" s="27"/>
      <c r="F6" s="231" t="s">
        <v>38</v>
      </c>
      <c r="G6" s="231"/>
      <c r="K6" s="27"/>
      <c r="N6" s="27"/>
    </row>
    <row r="7" spans="2:18" x14ac:dyDescent="0.3">
      <c r="B7" s="27" t="s">
        <v>22</v>
      </c>
      <c r="C7">
        <v>1353</v>
      </c>
      <c r="E7" s="27" t="s">
        <v>33</v>
      </c>
      <c r="F7" t="s">
        <v>377</v>
      </c>
      <c r="G7" t="s">
        <v>4</v>
      </c>
      <c r="H7" t="s">
        <v>380</v>
      </c>
      <c r="K7" s="27"/>
      <c r="N7" s="27"/>
    </row>
    <row r="8" spans="2:18" x14ac:dyDescent="0.3">
      <c r="B8" s="27" t="s">
        <v>28</v>
      </c>
      <c r="C8">
        <v>18</v>
      </c>
      <c r="G8" t="s">
        <v>377</v>
      </c>
      <c r="H8" t="s">
        <v>39</v>
      </c>
      <c r="K8" s="27"/>
      <c r="N8" s="27"/>
      <c r="R8" s="36"/>
    </row>
    <row r="9" spans="2:18" x14ac:dyDescent="0.3">
      <c r="B9" s="27" t="s">
        <v>40</v>
      </c>
      <c r="C9">
        <v>1.8839999999999999</v>
      </c>
      <c r="G9" t="s">
        <v>381</v>
      </c>
      <c r="H9" t="s">
        <v>32</v>
      </c>
      <c r="K9" s="27"/>
    </row>
    <row r="10" spans="2:18" x14ac:dyDescent="0.3">
      <c r="B10" s="27" t="s">
        <v>41</v>
      </c>
      <c r="C10" s="56">
        <v>82</v>
      </c>
      <c r="G10" t="s">
        <v>382</v>
      </c>
      <c r="H10" t="s">
        <v>34</v>
      </c>
      <c r="K10" s="27"/>
      <c r="L10" s="56"/>
    </row>
    <row r="11" spans="2:18" x14ac:dyDescent="0.3">
      <c r="B11" s="27" t="s">
        <v>42</v>
      </c>
      <c r="C11" s="56">
        <v>93</v>
      </c>
      <c r="K11" s="27"/>
      <c r="L11" s="56"/>
    </row>
    <row r="12" spans="2:18" x14ac:dyDescent="0.3">
      <c r="B12" s="27" t="s">
        <v>43</v>
      </c>
      <c r="C12">
        <v>35913</v>
      </c>
      <c r="K12" s="27"/>
    </row>
    <row r="13" spans="2:18" ht="16.2" x14ac:dyDescent="0.3">
      <c r="B13" s="27" t="s">
        <v>44</v>
      </c>
      <c r="C13">
        <v>2400</v>
      </c>
      <c r="E13" t="s">
        <v>3</v>
      </c>
      <c r="F13" t="s">
        <v>377</v>
      </c>
      <c r="G13" t="s">
        <v>379</v>
      </c>
      <c r="H13" t="s">
        <v>161</v>
      </c>
    </row>
    <row r="14" spans="2:18" x14ac:dyDescent="0.3">
      <c r="E14" t="s">
        <v>162</v>
      </c>
      <c r="G14">
        <f>CONVERT(H14,"m^2","ft^2")</f>
        <v>10.763910416709722</v>
      </c>
      <c r="H14">
        <v>1</v>
      </c>
    </row>
    <row r="16" spans="2:18" x14ac:dyDescent="0.3">
      <c r="F16" s="231" t="s">
        <v>163</v>
      </c>
      <c r="G16" s="231"/>
    </row>
    <row r="17" spans="2:17" x14ac:dyDescent="0.3">
      <c r="E17" t="s">
        <v>377</v>
      </c>
      <c r="F17" t="s">
        <v>164</v>
      </c>
      <c r="G17" t="s">
        <v>165</v>
      </c>
    </row>
    <row r="18" spans="2:17" x14ac:dyDescent="0.3">
      <c r="F18" s="130">
        <f>'Prix GN'!C2/100</f>
        <v>0.17807999999999999</v>
      </c>
      <c r="G18">
        <f>'Prix GN'!B2</f>
        <v>4.7</v>
      </c>
    </row>
    <row r="20" spans="2:17" x14ac:dyDescent="0.3">
      <c r="B20" s="27" t="s">
        <v>45</v>
      </c>
      <c r="I20" s="35"/>
      <c r="J20" s="35"/>
      <c r="K20" s="27"/>
    </row>
    <row r="22" spans="2:17" ht="75.599999999999994" customHeight="1" x14ac:dyDescent="0.3">
      <c r="B22" s="230" t="s">
        <v>46</v>
      </c>
      <c r="C22" s="230"/>
      <c r="D22" s="230"/>
      <c r="E22" s="230"/>
      <c r="F22" s="230"/>
      <c r="G22" s="230"/>
      <c r="H22" s="230"/>
      <c r="K22" s="230"/>
      <c r="L22" s="230"/>
      <c r="M22" s="230"/>
      <c r="N22" s="230"/>
      <c r="O22" s="230"/>
      <c r="P22" s="230"/>
      <c r="Q22" s="230"/>
    </row>
  </sheetData>
  <mergeCells count="4">
    <mergeCell ref="B22:H22"/>
    <mergeCell ref="K22:Q22"/>
    <mergeCell ref="F6:G6"/>
    <mergeCell ref="F16:G16"/>
  </mergeCell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5C5755661E634A8D8AD65236E50D23" ma:contentTypeVersion="13" ma:contentTypeDescription="Crée un document." ma:contentTypeScope="" ma:versionID="e1563018f59808232357633ac98f1cbe">
  <xsd:schema xmlns:xsd="http://www.w3.org/2001/XMLSchema" xmlns:xs="http://www.w3.org/2001/XMLSchema" xmlns:p="http://schemas.microsoft.com/office/2006/metadata/properties" xmlns:ns2="dcd6b121-3296-49b0-9919-12643eb87564" xmlns:ns3="035a76b4-c220-4e35-93f0-ae3a84c709cc" targetNamespace="http://schemas.microsoft.com/office/2006/metadata/properties" ma:root="true" ma:fieldsID="ac8f43f04110b5e0bfcd594d0c4729d1" ns2:_="" ns3:_="">
    <xsd:import namespace="dcd6b121-3296-49b0-9919-12643eb87564"/>
    <xsd:import namespace="035a76b4-c220-4e35-93f0-ae3a84c709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BillingMetadata"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6b121-3296-49b0-9919-12643eb87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BillingMetadata" ma:index="11" nillable="true" ma:displayName="MediaServiceBillingMetadata" ma:hidden="true" ma:internalName="MediaServiceBilling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060fd4b1-590a-4863-a642-a3a7f8f6c15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5a76b4-c220-4e35-93f0-ae3a84c709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08a3f6f-f244-44d5-865c-7668bd1bfdc6}" ma:internalName="TaxCatchAll" ma:showField="CatchAllData" ma:web="035a76b4-c220-4e35-93f0-ae3a84c709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35a76b4-c220-4e35-93f0-ae3a84c709cc" xsi:nil="true"/>
    <lcf76f155ced4ddcb4097134ff3c332f xmlns="dcd6b121-3296-49b0-9919-12643eb8756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3C7FB90-8F57-47F0-973C-47B71567BEC0}"/>
</file>

<file path=customXml/itemProps2.xml><?xml version="1.0" encoding="utf-8"?>
<ds:datastoreItem xmlns:ds="http://schemas.openxmlformats.org/officeDocument/2006/customXml" ds:itemID="{12943C46-67D2-4F0D-858A-7F3F960AA643}">
  <ds:schemaRefs>
    <ds:schemaRef ds:uri="http://schemas.microsoft.com/office/infopath/2007/PartnerControl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b671e4ae-b606-4664-94ca-33f4e1ee5c4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F817A56-675A-4337-858E-83785317CF7F}">
  <ds:schemaRefs>
    <ds:schemaRef ds:uri="http://schemas.microsoft.com/sharepoint/v3/contenttype/forms"/>
  </ds:schemaRefs>
</ds:datastoreItem>
</file>

<file path=customXml/itemProps4.xml><?xml version="1.0" encoding="utf-8"?>
<ds:datastoreItem xmlns:ds="http://schemas.openxmlformats.org/officeDocument/2006/customXml" ds:itemID="{C05F1B46-EC75-452C-9045-E0F153D28A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Guide d'utilisation</vt:lpstr>
      <vt:lpstr>Calculateur</vt:lpstr>
      <vt:lpstr>Outil V3</vt:lpstr>
      <vt:lpstr>Prix GN</vt:lpstr>
      <vt:lpstr>Économies réelles</vt:lpstr>
      <vt:lpstr>Validation</vt:lpstr>
      <vt:lpstr>Courbe</vt:lpstr>
      <vt:lpstr>Instructions</vt:lpstr>
      <vt:lpstr>Aérotherme</vt:lpstr>
      <vt:lpstr>Infrarouge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Dubois Stéphanie</dc:creator>
  <cp:keywords/>
  <dc:description/>
  <cp:lastModifiedBy>Ye Bernard</cp:lastModifiedBy>
  <cp:revision/>
  <dcterms:created xsi:type="dcterms:W3CDTF">2023-11-06T20:06:01Z</dcterms:created>
  <dcterms:modified xsi:type="dcterms:W3CDTF">2025-08-04T18:05:53Z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0x010100585C5755661E634A8D8AD65236E50D23</vt:lpwstr>
  </property>
  <property fmtid="{D5CDD505-2E9C-101B-9397-08002B2CF9AE}" pid="3" name="MediaServiceImageTags">
    <vt:lpwstr/>
  </property>
</Properties>
</file>